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ptaylorindecomerciolt.sharepoint.com/sites/MochiladevendasTT/Documentos Partilhados/Comercial/Rentabilidade e Simuladores Gelato e Sorvete/"/>
    </mc:Choice>
  </mc:AlternateContent>
  <xr:revisionPtr revIDLastSave="330" documentId="8_{212536CC-C960-4815-9183-AAC1C3A5BD61}" xr6:coauthVersionLast="47" xr6:coauthVersionMax="47" xr10:uidLastSave="{02FD2E01-3C95-4218-89AC-9C703B2F971E}"/>
  <bookViews>
    <workbookView xWindow="-108" yWindow="-108" windowWidth="23256" windowHeight="12456" activeTab="1" xr2:uid="{6CB1D15A-29CC-4C70-8196-2125D8D05D0A}"/>
  </bookViews>
  <sheets>
    <sheet name="GX2" sheetId="1" r:id="rId1"/>
    <sheet name="Sabores Gelato Duas Rodas" sheetId="2" r:id="rId2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3" i="2" l="1"/>
  <c r="W13" i="2"/>
  <c r="R13" i="2"/>
  <c r="AD13" i="2"/>
  <c r="Y13" i="2"/>
  <c r="T13" i="2"/>
  <c r="AD12" i="2"/>
  <c r="Y12" i="2"/>
  <c r="AB12" i="2"/>
  <c r="W12" i="2"/>
  <c r="T12" i="2"/>
  <c r="R12" i="2"/>
  <c r="W11" i="2"/>
  <c r="AB11" i="2"/>
  <c r="R11" i="2"/>
  <c r="AD9" i="2"/>
  <c r="AD8" i="2"/>
  <c r="AD7" i="2"/>
  <c r="AD6" i="2"/>
  <c r="Y9" i="2"/>
  <c r="Y8" i="2"/>
  <c r="Y7" i="2"/>
  <c r="Y6" i="2"/>
  <c r="T11" i="2"/>
  <c r="T7" i="2"/>
  <c r="T8" i="2"/>
  <c r="T9" i="2"/>
  <c r="T6" i="2"/>
  <c r="O42" i="2"/>
  <c r="O44" i="2" s="1"/>
  <c r="O31" i="2"/>
  <c r="O33" i="2" s="1"/>
  <c r="O20" i="2"/>
  <c r="O22" i="2" s="1"/>
  <c r="O9" i="2"/>
  <c r="J20" i="2"/>
  <c r="J21" i="2" s="1"/>
  <c r="H20" i="2"/>
  <c r="E20" i="2"/>
  <c r="E21" i="2" s="1"/>
  <c r="C20" i="2"/>
  <c r="J10" i="2"/>
  <c r="J11" i="2" s="1"/>
  <c r="H10" i="2"/>
  <c r="C10" i="2"/>
  <c r="E10" i="2"/>
  <c r="E11" i="2" s="1"/>
  <c r="K84" i="1"/>
  <c r="K83" i="1"/>
  <c r="K8" i="1"/>
  <c r="I21" i="1"/>
  <c r="C12" i="1"/>
  <c r="I65" i="1"/>
  <c r="I67" i="1" s="1"/>
  <c r="K62" i="1"/>
  <c r="K65" i="1" s="1"/>
  <c r="K60" i="1"/>
  <c r="U115" i="1"/>
  <c r="I55" i="1"/>
  <c r="K52" i="1"/>
  <c r="K55" i="1" s="1"/>
  <c r="K56" i="1" s="1"/>
  <c r="C35" i="1"/>
  <c r="U30" i="1" s="1"/>
  <c r="U29" i="1"/>
  <c r="U26" i="1"/>
  <c r="U25" i="1"/>
  <c r="I46" i="1"/>
  <c r="K43" i="1"/>
  <c r="K46" i="1" s="1"/>
  <c r="K47" i="1" s="1"/>
  <c r="U24" i="1" s="1"/>
  <c r="C39" i="1"/>
  <c r="U13" i="1"/>
  <c r="U12" i="1"/>
  <c r="U11" i="1"/>
  <c r="U10" i="1"/>
  <c r="U9" i="1"/>
  <c r="AD11" i="2" l="1"/>
  <c r="Y11" i="2"/>
  <c r="O45" i="2"/>
  <c r="O34" i="2"/>
  <c r="O23" i="2"/>
  <c r="O12" i="2"/>
  <c r="O11" i="2"/>
  <c r="U16" i="1"/>
  <c r="U18" i="1" s="1"/>
  <c r="U23" i="1"/>
  <c r="U31" i="1" s="1"/>
  <c r="U102" i="1" l="1"/>
  <c r="U85" i="1"/>
  <c r="U84" i="1"/>
  <c r="U74" i="1"/>
  <c r="U73" i="1"/>
  <c r="U63" i="1"/>
  <c r="U62" i="1"/>
  <c r="U52" i="1"/>
  <c r="U51" i="1"/>
  <c r="P104" i="1"/>
  <c r="M103" i="1"/>
  <c r="P102" i="1"/>
  <c r="M102" i="1"/>
  <c r="K35" i="1"/>
  <c r="H35" i="1"/>
  <c r="H34" i="1"/>
  <c r="C26" i="1"/>
  <c r="P103" i="1" s="1"/>
  <c r="C25" i="1"/>
  <c r="K34" i="1" s="1"/>
  <c r="K38" i="1" s="1"/>
  <c r="C29" i="1" s="1"/>
  <c r="P101" i="1" s="1"/>
  <c r="P93" i="1"/>
  <c r="P92" i="1"/>
  <c r="P91" i="1"/>
  <c r="P82" i="1"/>
  <c r="P81" i="1"/>
  <c r="P80" i="1"/>
  <c r="P32" i="1"/>
  <c r="K74" i="1"/>
  <c r="K73" i="1"/>
  <c r="K72" i="1"/>
  <c r="P59" i="1"/>
  <c r="P58" i="1"/>
  <c r="P56" i="1"/>
  <c r="P53" i="1"/>
  <c r="P54" i="1"/>
  <c r="P55" i="1"/>
  <c r="P57" i="1"/>
  <c r="U50" i="1" s="1"/>
  <c r="P44" i="1"/>
  <c r="P43" i="1"/>
  <c r="P42" i="1"/>
  <c r="P41" i="1"/>
  <c r="K26" i="1"/>
  <c r="K29" i="1" s="1"/>
  <c r="I29" i="1"/>
  <c r="P31" i="1"/>
  <c r="P30" i="1"/>
  <c r="P29" i="1"/>
  <c r="P10" i="1"/>
  <c r="P9" i="1"/>
  <c r="K18" i="1"/>
  <c r="K21" i="1" s="1"/>
  <c r="U83" i="1" l="1"/>
  <c r="U87" i="1" s="1"/>
  <c r="U90" i="1" s="1"/>
  <c r="P105" i="1"/>
  <c r="U54" i="1"/>
  <c r="U56" i="1" s="1"/>
  <c r="K22" i="1"/>
  <c r="K71" i="1" s="1"/>
  <c r="U118" i="1"/>
  <c r="U117" i="1"/>
  <c r="U105" i="1"/>
  <c r="U104" i="1"/>
  <c r="K30" i="1"/>
  <c r="U19" i="1" l="1"/>
  <c r="U89" i="1"/>
  <c r="U57" i="1"/>
  <c r="P108" i="1"/>
  <c r="P107" i="1"/>
  <c r="K75" i="1"/>
  <c r="U61" i="1"/>
  <c r="U65" i="1" s="1"/>
  <c r="P40" i="1"/>
  <c r="P45" i="1" s="1"/>
  <c r="U42" i="1" s="1"/>
  <c r="P52" i="1"/>
  <c r="P60" i="1" s="1"/>
  <c r="P28" i="1"/>
  <c r="P33" i="1" s="1"/>
  <c r="P36" i="1" s="1"/>
  <c r="P20" i="1"/>
  <c r="I13" i="1"/>
  <c r="K10" i="1"/>
  <c r="K9" i="1"/>
  <c r="P47" i="1" l="1"/>
  <c r="U67" i="1"/>
  <c r="U68" i="1"/>
  <c r="K78" i="1"/>
  <c r="K77" i="1"/>
  <c r="U45" i="1"/>
  <c r="U44" i="1"/>
  <c r="P48" i="1"/>
  <c r="P63" i="1"/>
  <c r="P62" i="1"/>
  <c r="P35" i="1"/>
  <c r="K13" i="1"/>
  <c r="K14" i="1" s="1"/>
  <c r="P19" i="1" s="1"/>
  <c r="P90" i="1" l="1"/>
  <c r="P79" i="1"/>
  <c r="P8" i="1"/>
  <c r="P21" i="1"/>
  <c r="U72" i="1" l="1"/>
  <c r="U76" i="1" s="1"/>
  <c r="P83" i="1"/>
  <c r="P94" i="1"/>
  <c r="P12" i="1"/>
  <c r="P15" i="1" s="1"/>
  <c r="P23" i="1"/>
  <c r="P24" i="1"/>
  <c r="P96" i="1" l="1"/>
  <c r="P97" i="1"/>
  <c r="P86" i="1"/>
  <c r="P85" i="1"/>
  <c r="U79" i="1"/>
  <c r="U78" i="1"/>
  <c r="P14" i="1"/>
  <c r="U34" i="1" l="1"/>
  <c r="U33" i="1"/>
</calcChain>
</file>

<file path=xl/sharedStrings.xml><?xml version="1.0" encoding="utf-8"?>
<sst xmlns="http://schemas.openxmlformats.org/spreadsheetml/2006/main" count="757" uniqueCount="201">
  <si>
    <t>Margem Bruta Gelato (GX2)</t>
  </si>
  <si>
    <t>Produtos de Venda</t>
  </si>
  <si>
    <t>Produtos da Oficina de Sobremesas 22/11</t>
  </si>
  <si>
    <t>Base de Valores Alimentos</t>
  </si>
  <si>
    <t>Receita de Produção da Base de Gelato na GX2:</t>
  </si>
  <si>
    <t>Casquinha de Gelato (GX2)</t>
  </si>
  <si>
    <t>Sundae Top Brasil (C716)</t>
  </si>
  <si>
    <t>Produto</t>
  </si>
  <si>
    <t>Custo Médio</t>
  </si>
  <si>
    <t>Medida</t>
  </si>
  <si>
    <t>Fabricante</t>
  </si>
  <si>
    <t>Atualização</t>
  </si>
  <si>
    <t>Quantidade</t>
  </si>
  <si>
    <t>Água</t>
  </si>
  <si>
    <t>Litro</t>
  </si>
  <si>
    <t>Lindoya</t>
  </si>
  <si>
    <t>Leite</t>
  </si>
  <si>
    <t>L</t>
  </si>
  <si>
    <t>Gelato</t>
  </si>
  <si>
    <t>g</t>
  </si>
  <si>
    <t>Sorvete de Baunilha</t>
  </si>
  <si>
    <t>Pasta Saborizante</t>
  </si>
  <si>
    <t>Kg</t>
  </si>
  <si>
    <t>Pregel</t>
  </si>
  <si>
    <t>Fior de Latte (base neutra)</t>
  </si>
  <si>
    <t>Casquinha</t>
  </si>
  <si>
    <t>Unid.</t>
  </si>
  <si>
    <t>Recheio Artesanal Creme de Amendoim VaBene</t>
  </si>
  <si>
    <t>Guardanapo</t>
  </si>
  <si>
    <t>Paçoca (1 unidade)</t>
  </si>
  <si>
    <t>Panetone (80g)</t>
  </si>
  <si>
    <t>-</t>
  </si>
  <si>
    <t>Bauducco</t>
  </si>
  <si>
    <t>Inserção de Ar (GX2)</t>
  </si>
  <si>
    <t>% de Ar</t>
  </si>
  <si>
    <t>Colher Plática Cabo-Longo</t>
  </si>
  <si>
    <t>Crocante de Amendoim</t>
  </si>
  <si>
    <t>Base de Baunilha</t>
  </si>
  <si>
    <t>Polenghi</t>
  </si>
  <si>
    <t>Custo Total</t>
  </si>
  <si>
    <t>Tubete Recheado (1 unidade)</t>
  </si>
  <si>
    <t>Paçoca</t>
  </si>
  <si>
    <t>kg</t>
  </si>
  <si>
    <t>Santa Helena</t>
  </si>
  <si>
    <t>Total de Gelato</t>
  </si>
  <si>
    <t>Preço Suger.</t>
  </si>
  <si>
    <t>Chantilly</t>
  </si>
  <si>
    <t>Vigor</t>
  </si>
  <si>
    <t>Porção de Gelato</t>
  </si>
  <si>
    <t>Margem</t>
  </si>
  <si>
    <t>Calda de Caramelo</t>
  </si>
  <si>
    <t>Marvi</t>
  </si>
  <si>
    <t>CMV</t>
  </si>
  <si>
    <t>Copo Supremo Transp. De 300ml</t>
  </si>
  <si>
    <t>Tubetes recheados</t>
  </si>
  <si>
    <t>Look</t>
  </si>
  <si>
    <t>Receita de Produção da Base da Polenghi na Máquina COM BOMBA</t>
  </si>
  <si>
    <t>Pó de café</t>
  </si>
  <si>
    <t>Nescafé</t>
  </si>
  <si>
    <t>Gelatone (GX2)</t>
  </si>
  <si>
    <t>Calda de Chocolate</t>
  </si>
  <si>
    <t>Base de Baunilha Polenghi</t>
  </si>
  <si>
    <t>Piracanjuba</t>
  </si>
  <si>
    <t>Inserção de Ar (C716)</t>
  </si>
  <si>
    <t>Palito de Chocolate</t>
  </si>
  <si>
    <t>Cory</t>
  </si>
  <si>
    <t>Panetone</t>
  </si>
  <si>
    <t>Biscoito Wafer Passion</t>
  </si>
  <si>
    <t>Arcor</t>
  </si>
  <si>
    <t>Total de Sorvete</t>
  </si>
  <si>
    <t>Panqueca Top Estados Unidos (C716)</t>
  </si>
  <si>
    <t>Brownie Mr. Bey</t>
  </si>
  <si>
    <t>Mr. Bey</t>
  </si>
  <si>
    <t>Porção de Sorvete</t>
  </si>
  <si>
    <t>Achocolatado Crocante</t>
  </si>
  <si>
    <t>Ovomaltine</t>
  </si>
  <si>
    <t>Margem Bruta</t>
  </si>
  <si>
    <t>Panquecas</t>
  </si>
  <si>
    <t>Crocante de Castanha de Cajú</t>
  </si>
  <si>
    <t>VaBene</t>
  </si>
  <si>
    <t>Receita de Produção da Base da Polenghi na 430:</t>
  </si>
  <si>
    <t>Sorvete Floresta Negra</t>
  </si>
  <si>
    <t>Chá Mate Tostado (Check MATE - Sachê 110g)</t>
  </si>
  <si>
    <t>Baldo</t>
  </si>
  <si>
    <t>Brownie Picado Mr.Bey (1/2 Brownie)</t>
  </si>
  <si>
    <t>Xarope Artificial Baldo</t>
  </si>
  <si>
    <t>Shake de Amarula (430)</t>
  </si>
  <si>
    <t>Crocante de Cookie Vabene</t>
  </si>
  <si>
    <t>Gelo</t>
  </si>
  <si>
    <t>Bon Gelo</t>
  </si>
  <si>
    <t>Inserção de Ar (430)</t>
  </si>
  <si>
    <t>Blueberry</t>
  </si>
  <si>
    <t>Água encanada</t>
  </si>
  <si>
    <t>Sabesp</t>
  </si>
  <si>
    <t>Base de baunilha</t>
  </si>
  <si>
    <t>Chá Mate Líq. (Mistura Chá Tostado + Água)</t>
  </si>
  <si>
    <t>Vabene</t>
  </si>
  <si>
    <t>Melado de Cana</t>
  </si>
  <si>
    <t>Recheio Artesanal Creme de Amendoim</t>
  </si>
  <si>
    <t>Panqueca (rational)</t>
  </si>
  <si>
    <t>Pegar marca</t>
  </si>
  <si>
    <t>Receita de Produção do Chá na ITCBA</t>
  </si>
  <si>
    <t>Tubete Recheado (2 unid.)</t>
  </si>
  <si>
    <t>Crocante de Cookie</t>
  </si>
  <si>
    <t>Unid</t>
  </si>
  <si>
    <t>Hemmer</t>
  </si>
  <si>
    <t>Litros</t>
  </si>
  <si>
    <t>Mini Churros</t>
  </si>
  <si>
    <t>Sobremesa Top Argentina (C723)</t>
  </si>
  <si>
    <t>Taça</t>
  </si>
  <si>
    <t>Rabanada</t>
  </si>
  <si>
    <t>Total de Produto</t>
  </si>
  <si>
    <t>Geléia de Maçã</t>
  </si>
  <si>
    <t>Chá Mate Líq (Mistura Pronta)</t>
  </si>
  <si>
    <t>Café Gelado (430)</t>
  </si>
  <si>
    <t>Sorvete de Doce de Leite (montar receita base)</t>
  </si>
  <si>
    <t>Variegato de Trufa</t>
  </si>
  <si>
    <t>Base Polenghi</t>
  </si>
  <si>
    <t>Base Floresta Negra</t>
  </si>
  <si>
    <t>ml</t>
  </si>
  <si>
    <t>Licor Marula</t>
  </si>
  <si>
    <t>Stock</t>
  </si>
  <si>
    <t>Café Solúvel</t>
  </si>
  <si>
    <t>Base Neutra Gelato Latte 800gr Specialitá</t>
  </si>
  <si>
    <t>Duas Rodas</t>
  </si>
  <si>
    <t>Base Baunilha Polenghi</t>
  </si>
  <si>
    <t>Pasta de Chocolate Doremus 1Kg</t>
  </si>
  <si>
    <t>Doremus</t>
  </si>
  <si>
    <t>Variegato de Trufa Vabene</t>
  </si>
  <si>
    <t>Pasta Saborizante Pistache Specialitá 2Kg</t>
  </si>
  <si>
    <t>Inserção de Ar</t>
  </si>
  <si>
    <t>% de ar</t>
  </si>
  <si>
    <t>Pasta Saborizante Morango Specialitá 2kg</t>
  </si>
  <si>
    <t>Pasta Saborizante Baunilha Specialitá 2kg</t>
  </si>
  <si>
    <t>Porção de Sorvete Floresta Negra</t>
  </si>
  <si>
    <t>Sorvete Top British (C723)</t>
  </si>
  <si>
    <t>BaseDoce de Leite</t>
  </si>
  <si>
    <t>Shake de Brownie (430)</t>
  </si>
  <si>
    <t>Sorvete de Whiskey (montar receita base)</t>
  </si>
  <si>
    <t>Base de Valores Complementos:</t>
  </si>
  <si>
    <t>Unidade</t>
  </si>
  <si>
    <t>Brownie Picado (1 unid.)</t>
  </si>
  <si>
    <t>Supremo</t>
  </si>
  <si>
    <t>ADICIONAR COPINHO E COLHER</t>
  </si>
  <si>
    <t>Copo Supremo Transp. De 500ml</t>
  </si>
  <si>
    <t>Kitchen</t>
  </si>
  <si>
    <t>Pázinha</t>
  </si>
  <si>
    <t>x</t>
  </si>
  <si>
    <t>Palito de Chocolate (2 unid.)</t>
  </si>
  <si>
    <t>Biscoito Waffer Passion (1 unid.)</t>
  </si>
  <si>
    <t>Sanduíche de Brownie Brasil (GX)</t>
  </si>
  <si>
    <t>Brownie</t>
  </si>
  <si>
    <t>Sorvete de Leitinho BR</t>
  </si>
  <si>
    <t>Sorvete de Pistache BR</t>
  </si>
  <si>
    <t>Crocante de Castanha</t>
  </si>
  <si>
    <t>Casquinha de Baunilha (C716)</t>
  </si>
  <si>
    <t xml:space="preserve">Petit Top França (GX) </t>
  </si>
  <si>
    <t>Gelato de Pistache</t>
  </si>
  <si>
    <t>Petit Gateau Mr. Bey</t>
  </si>
  <si>
    <t>Gelato de Frutas Vermelhas (GX2)</t>
  </si>
  <si>
    <t>Gelato de Frutas Vermelhas</t>
  </si>
  <si>
    <t>Tubetes recheados (1 unid.)</t>
  </si>
  <si>
    <t>Base Neutra Gelato Specialitá</t>
  </si>
  <si>
    <t>GelaTop Tex Mex (104)</t>
  </si>
  <si>
    <t>Pote</t>
  </si>
  <si>
    <t>Gelato de Creme Azedo</t>
  </si>
  <si>
    <t>Doritos</t>
  </si>
  <si>
    <t>Geléia de Pimenta Jalapeño</t>
  </si>
  <si>
    <t>Gelato de Chocolate (GX2)</t>
  </si>
  <si>
    <t>Gelato de Chocolate</t>
  </si>
  <si>
    <t>Chá Gelado Copo 500ml (ITCBA)</t>
  </si>
  <si>
    <t>Shake Top África (430)</t>
  </si>
  <si>
    <t>Amarula</t>
  </si>
  <si>
    <t xml:space="preserve"> Gelato de Chocolate </t>
  </si>
  <si>
    <t xml:space="preserve">Base Neutra Gelato Latte 800gr </t>
  </si>
  <si>
    <t>Base Neutra Gelato Latte 800gr</t>
  </si>
  <si>
    <t>Pasta Saborizante Chocolate</t>
  </si>
  <si>
    <t xml:space="preserve">Pasta Saborizante Pistache </t>
  </si>
  <si>
    <t xml:space="preserve">Pasta Saborizante Morango </t>
  </si>
  <si>
    <t xml:space="preserve">Pasta Saborizante Biscoito </t>
  </si>
  <si>
    <t xml:space="preserve">Copo </t>
  </si>
  <si>
    <t>Cenário 1</t>
  </si>
  <si>
    <t>Vendas/dia</t>
  </si>
  <si>
    <t>Margem unid.</t>
  </si>
  <si>
    <t>Margem total</t>
  </si>
  <si>
    <t>Gelato de Morango</t>
  </si>
  <si>
    <t>Gelato de Biscoito</t>
  </si>
  <si>
    <t>Copo de Gelato Biscoito (G10 / GX2 / GX4)</t>
  </si>
  <si>
    <t>Copo de Gelato Morango (G10 / GX2 / GX4)</t>
  </si>
  <si>
    <t>Copo de Gelato Pistache (G10 / GX2 / GX4)</t>
  </si>
  <si>
    <t>Copo de Gelato Chocolate (G10 / GX2 / GX4)</t>
  </si>
  <si>
    <t>Total</t>
  </si>
  <si>
    <t>Cenário 2</t>
  </si>
  <si>
    <t>Cenário 3</t>
  </si>
  <si>
    <t>Vendas</t>
  </si>
  <si>
    <t>Total/dia</t>
  </si>
  <si>
    <t>Total/mês (26 dias)</t>
  </si>
  <si>
    <t>Total/ano*</t>
  </si>
  <si>
    <t xml:space="preserve"> Gelato de Morango </t>
  </si>
  <si>
    <t xml:space="preserve"> Gelato de Pistache </t>
  </si>
  <si>
    <t xml:space="preserve"> Gelato de Biscoito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</si>
</sst>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\ * #,##0.000_-;\-&quot;R$&quot;\ * #,##0.000_-;_-&quot;R$&quot;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29287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82">
    <xf numFmtId="0" fontId="0" fillId="0" borderId="0" xfId="0"/>
    <xf numFmtId="44" fontId="0" fillId="0" borderId="0" xfId="0" applyNumberFormat="1"/>
    <xf numFmtId="0" fontId="2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44" fontId="0" fillId="4" borderId="0" xfId="0" applyNumberForma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10" fontId="0" fillId="4" borderId="0" xfId="0" applyNumberFormat="1" applyFill="1" applyAlignment="1">
      <alignment horizontal="left"/>
    </xf>
    <xf numFmtId="0" fontId="0" fillId="3" borderId="0" xfId="0" applyFill="1" applyAlignment="1">
      <alignment horizontal="right"/>
    </xf>
    <xf numFmtId="0" fontId="0" fillId="3" borderId="0" xfId="0" applyFill="1" applyAlignment="1">
      <alignment horizontal="left"/>
    </xf>
    <xf numFmtId="44" fontId="0" fillId="3" borderId="0" xfId="0" applyNumberFormat="1" applyFill="1"/>
    <xf numFmtId="0" fontId="1" fillId="2" borderId="0" xfId="0" applyFont="1" applyFill="1"/>
    <xf numFmtId="0" fontId="4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0" fillId="7" borderId="0" xfId="0" applyFill="1"/>
    <xf numFmtId="44" fontId="0" fillId="5" borderId="0" xfId="0" applyNumberFormat="1" applyFill="1"/>
    <xf numFmtId="44" fontId="0" fillId="7" borderId="0" xfId="0" applyNumberFormat="1" applyFill="1"/>
    <xf numFmtId="44" fontId="0" fillId="6" borderId="0" xfId="0" applyNumberFormat="1" applyFill="1"/>
    <xf numFmtId="10" fontId="0" fillId="0" borderId="0" xfId="0" applyNumberFormat="1"/>
    <xf numFmtId="164" fontId="0" fillId="4" borderId="0" xfId="0" applyNumberFormat="1" applyFill="1"/>
    <xf numFmtId="0" fontId="0" fillId="8" borderId="0" xfId="0" applyFill="1"/>
    <xf numFmtId="10" fontId="0" fillId="8" borderId="0" xfId="0" applyNumberFormat="1" applyFill="1"/>
    <xf numFmtId="0" fontId="4" fillId="2" borderId="0" xfId="0" applyFont="1" applyFill="1" applyAlignment="1">
      <alignment horizontal="left" vertical="center"/>
    </xf>
    <xf numFmtId="0" fontId="1" fillId="9" borderId="0" xfId="0" applyFont="1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44" fontId="0" fillId="11" borderId="0" xfId="0" applyNumberFormat="1" applyFill="1"/>
    <xf numFmtId="0" fontId="5" fillId="12" borderId="0" xfId="0" applyFont="1" applyFill="1"/>
    <xf numFmtId="44" fontId="5" fillId="12" borderId="0" xfId="0" applyNumberFormat="1" applyFont="1" applyFill="1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4" borderId="4" xfId="0" applyFill="1" applyBorder="1"/>
    <xf numFmtId="44" fontId="0" fillId="4" borderId="5" xfId="0" applyNumberFormat="1" applyFill="1" applyBorder="1"/>
    <xf numFmtId="0" fontId="3" fillId="4" borderId="4" xfId="0" applyFont="1" applyFill="1" applyBorder="1"/>
    <xf numFmtId="0" fontId="0" fillId="0" borderId="4" xfId="0" applyBorder="1"/>
    <xf numFmtId="0" fontId="0" fillId="0" borderId="5" xfId="0" applyBorder="1"/>
    <xf numFmtId="44" fontId="0" fillId="3" borderId="5" xfId="0" applyNumberFormat="1" applyFill="1" applyBorder="1"/>
    <xf numFmtId="0" fontId="0" fillId="4" borderId="6" xfId="0" applyFill="1" applyBorder="1"/>
    <xf numFmtId="0" fontId="0" fillId="4" borderId="7" xfId="0" applyFill="1" applyBorder="1"/>
    <xf numFmtId="44" fontId="0" fillId="4" borderId="8" xfId="0" applyNumberFormat="1" applyFill="1" applyBorder="1"/>
    <xf numFmtId="0" fontId="0" fillId="13" borderId="0" xfId="0" applyFill="1"/>
    <xf numFmtId="44" fontId="0" fillId="13" borderId="0" xfId="0" applyNumberFormat="1" applyFill="1"/>
    <xf numFmtId="0" fontId="0" fillId="13" borderId="0" xfId="0" applyFill="1" applyAlignment="1">
      <alignment horizontal="left"/>
    </xf>
    <xf numFmtId="44" fontId="0" fillId="13" borderId="0" xfId="0" applyNumberFormat="1" applyFill="1" applyAlignment="1">
      <alignment horizontal="left"/>
    </xf>
    <xf numFmtId="0" fontId="0" fillId="13" borderId="0" xfId="0" applyFill="1" applyAlignment="1">
      <alignment horizontal="left" vertical="center"/>
    </xf>
    <xf numFmtId="0" fontId="1" fillId="13" borderId="0" xfId="0" applyFont="1" applyFill="1"/>
    <xf numFmtId="44" fontId="0" fillId="0" borderId="5" xfId="0" applyNumberFormat="1" applyBorder="1"/>
    <xf numFmtId="44" fontId="0" fillId="13" borderId="0" xfId="1" applyFont="1" applyFill="1"/>
    <xf numFmtId="14" fontId="0" fillId="13" borderId="0" xfId="0" applyNumberFormat="1" applyFill="1"/>
    <xf numFmtId="0" fontId="0" fillId="13" borderId="4" xfId="0" applyFill="1" applyBorder="1"/>
    <xf numFmtId="44" fontId="0" fillId="13" borderId="5" xfId="0" applyNumberFormat="1" applyFill="1" applyBorder="1"/>
    <xf numFmtId="0" fontId="7" fillId="14" borderId="9" xfId="0" applyFont="1" applyFill="1" applyBorder="1"/>
    <xf numFmtId="0" fontId="7" fillId="14" borderId="10" xfId="0" applyFont="1" applyFill="1" applyBorder="1"/>
    <xf numFmtId="0" fontId="7" fillId="14" borderId="11" xfId="0" applyFont="1" applyFill="1" applyBorder="1"/>
    <xf numFmtId="0" fontId="0" fillId="15" borderId="1" xfId="0" applyFill="1" applyBorder="1"/>
    <xf numFmtId="0" fontId="0" fillId="15" borderId="2" xfId="0" applyFill="1" applyBorder="1" applyAlignment="1">
      <alignment horizontal="center"/>
    </xf>
    <xf numFmtId="44" fontId="0" fillId="15" borderId="2" xfId="1" applyFont="1" applyFill="1" applyBorder="1" applyAlignment="1">
      <alignment horizontal="center"/>
    </xf>
    <xf numFmtId="44" fontId="0" fillId="15" borderId="3" xfId="1" applyFont="1" applyFill="1" applyBorder="1" applyAlignment="1">
      <alignment horizontal="center"/>
    </xf>
    <xf numFmtId="0" fontId="0" fillId="15" borderId="4" xfId="0" applyFill="1" applyBorder="1"/>
    <xf numFmtId="0" fontId="0" fillId="15" borderId="0" xfId="0" applyFill="1" applyAlignment="1">
      <alignment horizontal="center"/>
    </xf>
    <xf numFmtId="44" fontId="0" fillId="15" borderId="0" xfId="1" applyFont="1" applyFill="1" applyBorder="1" applyAlignment="1">
      <alignment horizontal="center"/>
    </xf>
    <xf numFmtId="44" fontId="0" fillId="15" borderId="5" xfId="1" applyFont="1" applyFill="1" applyBorder="1" applyAlignment="1">
      <alignment horizontal="center"/>
    </xf>
    <xf numFmtId="0" fontId="0" fillId="15" borderId="6" xfId="0" applyFill="1" applyBorder="1"/>
    <xf numFmtId="0" fontId="0" fillId="15" borderId="7" xfId="0" applyFill="1" applyBorder="1" applyAlignment="1">
      <alignment horizontal="center"/>
    </xf>
    <xf numFmtId="44" fontId="0" fillId="15" borderId="7" xfId="1" applyFont="1" applyFill="1" applyBorder="1" applyAlignment="1">
      <alignment horizontal="center"/>
    </xf>
    <xf numFmtId="44" fontId="0" fillId="15" borderId="8" xfId="1" applyFont="1" applyFill="1" applyBorder="1" applyAlignment="1">
      <alignment horizontal="center"/>
    </xf>
    <xf numFmtId="0" fontId="0" fillId="16" borderId="0" xfId="0" applyFill="1"/>
    <xf numFmtId="0" fontId="0" fillId="16" borderId="0" xfId="0" applyFill="1" applyAlignment="1">
      <alignment horizontal="center" vertical="center"/>
    </xf>
    <xf numFmtId="44" fontId="0" fillId="16" borderId="0" xfId="1" applyFont="1" applyFill="1" applyAlignment="1">
      <alignment horizontal="center"/>
    </xf>
    <xf numFmtId="44" fontId="0" fillId="16" borderId="0" xfId="1" applyFont="1" applyFill="1" applyBorder="1" applyAlignment="1">
      <alignment horizontal="center"/>
    </xf>
    <xf numFmtId="0" fontId="0" fillId="16" borderId="0" xfId="0" applyFill="1" applyAlignment="1">
      <alignment horizontal="center"/>
    </xf>
    <xf numFmtId="44" fontId="0" fillId="16" borderId="0" xfId="0" applyNumberFormat="1" applyFill="1"/>
    <xf numFmtId="0" fontId="0" fillId="16" borderId="0" xfId="1" applyNumberFormat="1" applyFont="1" applyFill="1" applyBorder="1" applyAlignment="1">
      <alignment horizontal="center" vertical="center"/>
    </xf>
    <xf numFmtId="44" fontId="0" fillId="16" borderId="0" xfId="1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2928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7C784-404B-406F-849D-CDF399AE332D}">
  <dimension ref="B2:U118"/>
  <sheetViews>
    <sheetView topLeftCell="A17" zoomScale="85" zoomScaleNormal="85" workbookViewId="0">
      <selection activeCell="M6" sqref="M6:P15"/>
    </sheetView>
  </sheetViews>
  <sheetFormatPr defaultRowHeight="14.4" x14ac:dyDescent="0.3"/>
  <cols>
    <col min="2" max="2" width="41.44140625" bestFit="1" customWidth="1"/>
    <col min="3" max="3" width="12.109375" bestFit="1" customWidth="1"/>
    <col min="5" max="5" width="12.5546875" bestFit="1" customWidth="1"/>
    <col min="6" max="6" width="12.5546875" customWidth="1"/>
    <col min="7" max="7" width="7.109375" customWidth="1"/>
    <col min="8" max="8" width="45.88671875" bestFit="1" customWidth="1"/>
    <col min="9" max="9" width="11.44140625" bestFit="1" customWidth="1"/>
    <col min="10" max="10" width="11.44140625" customWidth="1"/>
    <col min="11" max="11" width="12.109375" bestFit="1" customWidth="1"/>
    <col min="12" max="12" width="7.109375" customWidth="1"/>
    <col min="13" max="13" width="30.33203125" bestFit="1" customWidth="1"/>
    <col min="14" max="14" width="20" bestFit="1" customWidth="1"/>
    <col min="15" max="15" width="13.5546875" bestFit="1" customWidth="1"/>
    <col min="16" max="16" width="12.109375" bestFit="1" customWidth="1"/>
    <col min="18" max="18" width="56.33203125" bestFit="1" customWidth="1"/>
    <col min="19" max="19" width="28.6640625" bestFit="1" customWidth="1"/>
    <col min="20" max="20" width="14.109375" bestFit="1" customWidth="1"/>
    <col min="21" max="22" width="12.5546875" bestFit="1" customWidth="1"/>
  </cols>
  <sheetData>
    <row r="2" spans="2:21" ht="30" customHeight="1" x14ac:dyDescent="0.4">
      <c r="B2" s="14" t="s">
        <v>0</v>
      </c>
      <c r="C2" s="2"/>
      <c r="D2" s="2"/>
      <c r="M2" s="14" t="s">
        <v>1</v>
      </c>
      <c r="N2" s="3"/>
      <c r="R2" s="26" t="s">
        <v>2</v>
      </c>
      <c r="S2" s="3"/>
    </row>
    <row r="5" spans="2:21" ht="15" thickBot="1" x14ac:dyDescent="0.35"/>
    <row r="6" spans="2:21" x14ac:dyDescent="0.3">
      <c r="B6" s="13" t="s">
        <v>3</v>
      </c>
      <c r="C6" s="3"/>
      <c r="D6" s="3"/>
      <c r="E6" s="3"/>
      <c r="F6" s="3"/>
      <c r="H6" s="34" t="s">
        <v>4</v>
      </c>
      <c r="I6" s="35"/>
      <c r="J6" s="35"/>
      <c r="K6" s="36"/>
      <c r="M6" s="27" t="s">
        <v>5</v>
      </c>
      <c r="N6" s="28"/>
      <c r="O6" s="28"/>
      <c r="P6" s="28"/>
      <c r="R6" s="13" t="s">
        <v>6</v>
      </c>
      <c r="S6" s="3"/>
      <c r="T6" s="3"/>
      <c r="U6" s="3"/>
    </row>
    <row r="7" spans="2:21" x14ac:dyDescent="0.3"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H7" s="37" t="s">
        <v>7</v>
      </c>
      <c r="I7" s="4" t="s">
        <v>12</v>
      </c>
      <c r="J7" s="4" t="s">
        <v>9</v>
      </c>
      <c r="K7" s="38" t="s">
        <v>8</v>
      </c>
      <c r="M7" s="29" t="s">
        <v>7</v>
      </c>
      <c r="N7" s="29" t="s">
        <v>12</v>
      </c>
      <c r="O7" s="29" t="s">
        <v>9</v>
      </c>
      <c r="P7" s="29" t="s">
        <v>8</v>
      </c>
      <c r="R7" s="4" t="s">
        <v>7</v>
      </c>
      <c r="S7" s="4" t="s">
        <v>12</v>
      </c>
      <c r="T7" s="4" t="s">
        <v>9</v>
      </c>
      <c r="U7" s="4" t="s">
        <v>8</v>
      </c>
    </row>
    <row r="8" spans="2:21" x14ac:dyDescent="0.3">
      <c r="B8" s="5" t="s">
        <v>13</v>
      </c>
      <c r="C8" s="6">
        <v>1.2</v>
      </c>
      <c r="D8" s="5" t="s">
        <v>14</v>
      </c>
      <c r="E8" s="5" t="s">
        <v>15</v>
      </c>
      <c r="F8" s="5"/>
      <c r="H8" s="39" t="s">
        <v>16</v>
      </c>
      <c r="I8" s="5">
        <v>4</v>
      </c>
      <c r="J8" s="5" t="s">
        <v>17</v>
      </c>
      <c r="K8" s="40">
        <f>C8*4</f>
        <v>4.8</v>
      </c>
      <c r="M8" s="30" t="s">
        <v>18</v>
      </c>
      <c r="N8" s="30">
        <v>150</v>
      </c>
      <c r="O8" s="30" t="s">
        <v>19</v>
      </c>
      <c r="P8" s="31">
        <f>K14</f>
        <v>1.8769230769230774</v>
      </c>
      <c r="R8" s="5" t="s">
        <v>20</v>
      </c>
      <c r="S8" s="5">
        <v>100</v>
      </c>
      <c r="T8" s="5" t="s">
        <v>19</v>
      </c>
      <c r="U8" s="6">
        <v>0.48125000000000001</v>
      </c>
    </row>
    <row r="9" spans="2:21" x14ac:dyDescent="0.3">
      <c r="B9" s="5" t="s">
        <v>21</v>
      </c>
      <c r="C9" s="6">
        <v>80</v>
      </c>
      <c r="D9" s="5" t="s">
        <v>22</v>
      </c>
      <c r="E9" s="5" t="s">
        <v>23</v>
      </c>
      <c r="F9" s="5"/>
      <c r="H9" s="39" t="s">
        <v>24</v>
      </c>
      <c r="I9" s="5">
        <v>1.6</v>
      </c>
      <c r="J9" s="5" t="s">
        <v>22</v>
      </c>
      <c r="K9" s="40">
        <f>C10*1.6</f>
        <v>60.800000000000004</v>
      </c>
      <c r="M9" s="30" t="s">
        <v>25</v>
      </c>
      <c r="N9" s="30">
        <v>1</v>
      </c>
      <c r="O9" s="30" t="s">
        <v>26</v>
      </c>
      <c r="P9" s="31">
        <f>C54</f>
        <v>0.25</v>
      </c>
      <c r="R9" s="5" t="s">
        <v>27</v>
      </c>
      <c r="S9" s="5">
        <v>10</v>
      </c>
      <c r="T9" s="5" t="s">
        <v>19</v>
      </c>
      <c r="U9" s="6">
        <f>28/100</f>
        <v>0.28000000000000003</v>
      </c>
    </row>
    <row r="10" spans="2:21" x14ac:dyDescent="0.3">
      <c r="B10" s="5" t="s">
        <v>24</v>
      </c>
      <c r="C10" s="6">
        <v>38</v>
      </c>
      <c r="D10" s="5" t="s">
        <v>22</v>
      </c>
      <c r="E10" s="5" t="s">
        <v>23</v>
      </c>
      <c r="F10" s="5"/>
      <c r="H10" s="39" t="s">
        <v>21</v>
      </c>
      <c r="I10" s="5">
        <v>0.04</v>
      </c>
      <c r="J10" s="5" t="s">
        <v>22</v>
      </c>
      <c r="K10" s="40">
        <f>C9*0.4</f>
        <v>32</v>
      </c>
      <c r="M10" s="30" t="s">
        <v>28</v>
      </c>
      <c r="N10" s="30">
        <v>1</v>
      </c>
      <c r="O10" s="30" t="s">
        <v>26</v>
      </c>
      <c r="P10" s="31">
        <f>C57</f>
        <v>0.01</v>
      </c>
      <c r="R10" s="5" t="s">
        <v>29</v>
      </c>
      <c r="S10" s="5">
        <v>15</v>
      </c>
      <c r="T10" s="5" t="s">
        <v>19</v>
      </c>
      <c r="U10" s="6">
        <f>C13/(1000/S10)</f>
        <v>0.55049999999999999</v>
      </c>
    </row>
    <row r="11" spans="2:21" x14ac:dyDescent="0.3">
      <c r="B11" s="5" t="s">
        <v>30</v>
      </c>
      <c r="C11" s="6">
        <v>7.99</v>
      </c>
      <c r="D11" s="15" t="s">
        <v>31</v>
      </c>
      <c r="E11" s="5" t="s">
        <v>32</v>
      </c>
      <c r="F11" s="5"/>
      <c r="H11" s="41" t="s">
        <v>33</v>
      </c>
      <c r="I11" s="8">
        <v>30</v>
      </c>
      <c r="J11" s="9" t="s">
        <v>34</v>
      </c>
      <c r="K11" s="40">
        <v>0</v>
      </c>
      <c r="M11" s="30" t="s">
        <v>35</v>
      </c>
      <c r="N11" s="30">
        <v>1</v>
      </c>
      <c r="O11" s="30" t="s">
        <v>26</v>
      </c>
      <c r="P11" s="31">
        <v>0.19</v>
      </c>
      <c r="R11" s="5" t="s">
        <v>36</v>
      </c>
      <c r="S11" s="5">
        <v>5</v>
      </c>
      <c r="T11" s="5" t="s">
        <v>19</v>
      </c>
      <c r="U11" s="6">
        <f>(28/1000)*5</f>
        <v>0.14000000000000001</v>
      </c>
    </row>
    <row r="12" spans="2:21" x14ac:dyDescent="0.3">
      <c r="B12" s="48" t="s">
        <v>37</v>
      </c>
      <c r="C12" s="49">
        <f>49.15/5</f>
        <v>9.83</v>
      </c>
      <c r="D12" s="48" t="s">
        <v>14</v>
      </c>
      <c r="E12" s="48" t="s">
        <v>38</v>
      </c>
      <c r="F12" s="48"/>
      <c r="H12" s="42"/>
      <c r="I12" s="1"/>
      <c r="J12" s="1"/>
      <c r="K12" s="54"/>
      <c r="O12" s="32" t="s">
        <v>39</v>
      </c>
      <c r="P12" s="33">
        <f>SUM(P8:P11)</f>
        <v>2.3269230769230771</v>
      </c>
      <c r="R12" s="5" t="s">
        <v>40</v>
      </c>
      <c r="S12" s="5">
        <v>5</v>
      </c>
      <c r="T12" s="5" t="s">
        <v>19</v>
      </c>
      <c r="U12" s="6">
        <f>C16/(1000/S12)</f>
        <v>0.27200000000000002</v>
      </c>
    </row>
    <row r="13" spans="2:21" x14ac:dyDescent="0.3">
      <c r="B13" s="5" t="s">
        <v>41</v>
      </c>
      <c r="C13" s="6">
        <v>36.700000000000003</v>
      </c>
      <c r="D13" s="5" t="s">
        <v>42</v>
      </c>
      <c r="E13" s="5" t="s">
        <v>43</v>
      </c>
      <c r="F13" s="5"/>
      <c r="H13" s="37" t="s">
        <v>44</v>
      </c>
      <c r="I13" s="10">
        <f>SUM(I8:I10)*1.3</f>
        <v>7.3319999999999999</v>
      </c>
      <c r="J13" s="11" t="s">
        <v>17</v>
      </c>
      <c r="K13" s="44">
        <f>SUM(K8:K10)</f>
        <v>97.600000000000009</v>
      </c>
      <c r="O13" s="17" t="s">
        <v>45</v>
      </c>
      <c r="P13" s="21">
        <v>11.9</v>
      </c>
      <c r="R13" s="5" t="s">
        <v>28</v>
      </c>
      <c r="S13" s="5">
        <v>1</v>
      </c>
      <c r="T13" s="5" t="s">
        <v>26</v>
      </c>
      <c r="U13" s="6">
        <f>C57</f>
        <v>0.01</v>
      </c>
    </row>
    <row r="14" spans="2:21" ht="15" thickBot="1" x14ac:dyDescent="0.35">
      <c r="B14" s="5" t="s">
        <v>46</v>
      </c>
      <c r="C14" s="6">
        <v>114</v>
      </c>
      <c r="D14" s="5" t="s">
        <v>42</v>
      </c>
      <c r="E14" s="5" t="s">
        <v>47</v>
      </c>
      <c r="F14" s="5"/>
      <c r="H14" s="45" t="s">
        <v>48</v>
      </c>
      <c r="I14" s="46">
        <v>0.15</v>
      </c>
      <c r="J14" s="46" t="s">
        <v>17</v>
      </c>
      <c r="K14" s="47">
        <f>(K13/78)*1.5</f>
        <v>1.8769230769230774</v>
      </c>
      <c r="O14" s="18" t="s">
        <v>49</v>
      </c>
      <c r="P14" s="20">
        <f>P13-P12</f>
        <v>9.5730769230769237</v>
      </c>
      <c r="R14" s="5" t="s">
        <v>35</v>
      </c>
      <c r="S14" s="5">
        <v>1</v>
      </c>
      <c r="T14" s="5" t="s">
        <v>26</v>
      </c>
      <c r="U14" s="6">
        <v>0.19</v>
      </c>
    </row>
    <row r="15" spans="2:21" ht="15" thickBot="1" x14ac:dyDescent="0.35">
      <c r="B15" s="5" t="s">
        <v>50</v>
      </c>
      <c r="C15" s="6">
        <v>15</v>
      </c>
      <c r="D15" s="5" t="s">
        <v>22</v>
      </c>
      <c r="E15" s="5" t="s">
        <v>51</v>
      </c>
      <c r="F15" s="5"/>
      <c r="I15" s="1"/>
      <c r="J15" s="1"/>
      <c r="O15" t="s">
        <v>52</v>
      </c>
      <c r="P15" s="22">
        <f>P12/P13</f>
        <v>0.19553975436328377</v>
      </c>
      <c r="R15" s="5" t="s">
        <v>53</v>
      </c>
      <c r="S15" s="5">
        <v>1</v>
      </c>
      <c r="T15" s="5" t="s">
        <v>26</v>
      </c>
      <c r="U15" s="6">
        <v>0.31</v>
      </c>
    </row>
    <row r="16" spans="2:21" x14ac:dyDescent="0.3">
      <c r="B16" s="5" t="s">
        <v>54</v>
      </c>
      <c r="C16" s="6">
        <v>54.4</v>
      </c>
      <c r="D16" s="5" t="s">
        <v>22</v>
      </c>
      <c r="E16" s="5" t="s">
        <v>55</v>
      </c>
      <c r="F16" s="5"/>
      <c r="H16" s="34" t="s">
        <v>56</v>
      </c>
      <c r="I16" s="35"/>
      <c r="J16" s="35"/>
      <c r="K16" s="36"/>
      <c r="T16" s="16" t="s">
        <v>39</v>
      </c>
      <c r="U16" s="19">
        <f>SUM(U8:U15)</f>
        <v>2.2337500000000001</v>
      </c>
    </row>
    <row r="17" spans="2:21" x14ac:dyDescent="0.3">
      <c r="B17" s="5" t="s">
        <v>57</v>
      </c>
      <c r="C17" s="6">
        <v>129.9</v>
      </c>
      <c r="D17" s="5" t="s">
        <v>22</v>
      </c>
      <c r="E17" s="5" t="s">
        <v>58</v>
      </c>
      <c r="F17" s="5"/>
      <c r="H17" s="37" t="s">
        <v>7</v>
      </c>
      <c r="I17" s="4" t="s">
        <v>12</v>
      </c>
      <c r="J17" s="4" t="s">
        <v>9</v>
      </c>
      <c r="K17" s="38" t="s">
        <v>8</v>
      </c>
      <c r="M17" s="13" t="s">
        <v>59</v>
      </c>
      <c r="N17" s="3"/>
      <c r="O17" s="3"/>
      <c r="P17" s="3"/>
      <c r="T17" s="17" t="s">
        <v>45</v>
      </c>
      <c r="U17" s="21">
        <v>11</v>
      </c>
    </row>
    <row r="18" spans="2:21" x14ac:dyDescent="0.3">
      <c r="B18" s="5" t="s">
        <v>60</v>
      </c>
      <c r="C18" s="6">
        <v>15</v>
      </c>
      <c r="D18" s="5" t="s">
        <v>22</v>
      </c>
      <c r="E18" s="5" t="s">
        <v>51</v>
      </c>
      <c r="F18" s="5"/>
      <c r="H18" s="39" t="s">
        <v>61</v>
      </c>
      <c r="I18" s="5">
        <v>5</v>
      </c>
      <c r="J18" s="5" t="s">
        <v>17</v>
      </c>
      <c r="K18" s="40">
        <f>C12*5</f>
        <v>49.15</v>
      </c>
      <c r="M18" s="4" t="s">
        <v>7</v>
      </c>
      <c r="N18" s="4" t="s">
        <v>12</v>
      </c>
      <c r="O18" s="4" t="s">
        <v>9</v>
      </c>
      <c r="P18" s="4" t="s">
        <v>8</v>
      </c>
      <c r="T18" s="18" t="s">
        <v>49</v>
      </c>
      <c r="U18" s="20">
        <f>U17-U16</f>
        <v>8.7662499999999994</v>
      </c>
    </row>
    <row r="19" spans="2:21" x14ac:dyDescent="0.3">
      <c r="B19" s="48" t="s">
        <v>16</v>
      </c>
      <c r="C19" s="49">
        <v>4.99</v>
      </c>
      <c r="D19" s="48" t="s">
        <v>14</v>
      </c>
      <c r="E19" s="48" t="s">
        <v>62</v>
      </c>
      <c r="F19" s="56">
        <v>45925</v>
      </c>
      <c r="H19" s="41" t="s">
        <v>63</v>
      </c>
      <c r="I19" s="5">
        <v>70</v>
      </c>
      <c r="J19" s="5" t="s">
        <v>34</v>
      </c>
      <c r="K19" s="40">
        <v>0</v>
      </c>
      <c r="M19" s="5" t="s">
        <v>18</v>
      </c>
      <c r="N19" s="5">
        <v>80</v>
      </c>
      <c r="O19" s="5" t="s">
        <v>19</v>
      </c>
      <c r="P19" s="6">
        <f>(K14/15)*8</f>
        <v>1.0010256410256413</v>
      </c>
      <c r="T19" t="s">
        <v>52</v>
      </c>
      <c r="U19" s="22">
        <f>U16/U17</f>
        <v>0.20306818181818184</v>
      </c>
    </row>
    <row r="20" spans="2:21" x14ac:dyDescent="0.3">
      <c r="B20" s="5" t="s">
        <v>64</v>
      </c>
      <c r="C20" s="6">
        <v>27.8</v>
      </c>
      <c r="D20" s="5" t="s">
        <v>22</v>
      </c>
      <c r="E20" s="5" t="s">
        <v>65</v>
      </c>
      <c r="F20" s="5"/>
      <c r="H20" s="42"/>
      <c r="K20" s="43"/>
      <c r="M20" s="5" t="s">
        <v>66</v>
      </c>
      <c r="N20" s="5">
        <v>80</v>
      </c>
      <c r="O20" s="5" t="s">
        <v>19</v>
      </c>
      <c r="P20" s="6">
        <f>C11</f>
        <v>7.99</v>
      </c>
    </row>
    <row r="21" spans="2:21" x14ac:dyDescent="0.3">
      <c r="B21" s="5" t="s">
        <v>67</v>
      </c>
      <c r="C21" s="6">
        <v>49.25</v>
      </c>
      <c r="D21" s="5" t="s">
        <v>22</v>
      </c>
      <c r="E21" s="5" t="s">
        <v>68</v>
      </c>
      <c r="F21" s="5"/>
      <c r="H21" s="37" t="s">
        <v>69</v>
      </c>
      <c r="I21" s="10">
        <f>I18*1.7</f>
        <v>8.5</v>
      </c>
      <c r="J21" s="11" t="s">
        <v>17</v>
      </c>
      <c r="K21" s="44">
        <f>SUM(K16:K18)</f>
        <v>49.15</v>
      </c>
      <c r="O21" s="16" t="s">
        <v>39</v>
      </c>
      <c r="P21" s="19">
        <f>SUM(P19:P20)</f>
        <v>8.9910256410256419</v>
      </c>
      <c r="R21" s="13" t="s">
        <v>70</v>
      </c>
      <c r="S21" s="3"/>
      <c r="T21" s="3"/>
      <c r="U21" s="3"/>
    </row>
    <row r="22" spans="2:21" ht="15" thickBot="1" x14ac:dyDescent="0.35">
      <c r="B22" s="5" t="s">
        <v>71</v>
      </c>
      <c r="C22" s="6">
        <v>91.6</v>
      </c>
      <c r="D22" s="5" t="s">
        <v>22</v>
      </c>
      <c r="E22" s="5" t="s">
        <v>72</v>
      </c>
      <c r="F22" s="5"/>
      <c r="H22" s="45" t="s">
        <v>73</v>
      </c>
      <c r="I22" s="46">
        <v>0.1</v>
      </c>
      <c r="J22" s="46" t="s">
        <v>17</v>
      </c>
      <c r="K22" s="47">
        <f>K21/(I21/I22)</f>
        <v>0.57823529411764707</v>
      </c>
      <c r="O22" s="17" t="s">
        <v>45</v>
      </c>
      <c r="P22" s="21">
        <v>22.9</v>
      </c>
      <c r="R22" s="4" t="s">
        <v>7</v>
      </c>
      <c r="S22" s="4" t="s">
        <v>12</v>
      </c>
      <c r="T22" s="4" t="s">
        <v>9</v>
      </c>
      <c r="U22" s="4" t="s">
        <v>8</v>
      </c>
    </row>
    <row r="23" spans="2:21" x14ac:dyDescent="0.3">
      <c r="B23" s="5" t="s">
        <v>74</v>
      </c>
      <c r="C23" s="6">
        <v>56.78</v>
      </c>
      <c r="D23" s="5" t="s">
        <v>22</v>
      </c>
      <c r="E23" s="5" t="s">
        <v>75</v>
      </c>
      <c r="F23" s="5"/>
      <c r="O23" s="18" t="s">
        <v>76</v>
      </c>
      <c r="P23" s="20">
        <f>P22-P21</f>
        <v>13.908974358974357</v>
      </c>
      <c r="R23" s="5" t="s">
        <v>77</v>
      </c>
      <c r="S23" s="5">
        <v>3</v>
      </c>
      <c r="T23" s="5" t="s">
        <v>26</v>
      </c>
      <c r="U23" s="6">
        <f>0.85*3</f>
        <v>2.5499999999999998</v>
      </c>
    </row>
    <row r="24" spans="2:21" x14ac:dyDescent="0.3">
      <c r="B24" s="5" t="s">
        <v>78</v>
      </c>
      <c r="C24" s="6">
        <v>25.7</v>
      </c>
      <c r="D24" s="5" t="s">
        <v>22</v>
      </c>
      <c r="E24" s="5" t="s">
        <v>79</v>
      </c>
      <c r="F24" s="5"/>
      <c r="H24" s="13" t="s">
        <v>80</v>
      </c>
      <c r="I24" s="3"/>
      <c r="J24" s="3"/>
      <c r="K24" s="3"/>
      <c r="O24" t="s">
        <v>52</v>
      </c>
      <c r="P24" s="22">
        <f>P21/P22</f>
        <v>0.39262120703168746</v>
      </c>
      <c r="R24" s="5" t="s">
        <v>81</v>
      </c>
      <c r="S24" s="5">
        <v>100</v>
      </c>
      <c r="T24" s="5" t="s">
        <v>19</v>
      </c>
      <c r="U24" s="6">
        <f>K47</f>
        <v>0.90100000000000002</v>
      </c>
    </row>
    <row r="25" spans="2:21" x14ac:dyDescent="0.3">
      <c r="B25" s="5" t="s">
        <v>82</v>
      </c>
      <c r="C25" s="6">
        <f>105.6/24</f>
        <v>4.3999999999999995</v>
      </c>
      <c r="D25" s="5" t="s">
        <v>26</v>
      </c>
      <c r="E25" s="5" t="s">
        <v>83</v>
      </c>
      <c r="F25" s="5"/>
      <c r="H25" s="4" t="s">
        <v>7</v>
      </c>
      <c r="I25" s="4" t="s">
        <v>12</v>
      </c>
      <c r="J25" s="4" t="s">
        <v>9</v>
      </c>
      <c r="K25" s="4" t="s">
        <v>8</v>
      </c>
      <c r="R25" s="5" t="s">
        <v>84</v>
      </c>
      <c r="S25" s="5">
        <v>40</v>
      </c>
      <c r="T25" s="5" t="s">
        <v>19</v>
      </c>
      <c r="U25" s="6">
        <f>(91.5/1000)*40</f>
        <v>3.66</v>
      </c>
    </row>
    <row r="26" spans="2:21" x14ac:dyDescent="0.3">
      <c r="B26" s="5" t="s">
        <v>85</v>
      </c>
      <c r="C26" s="6">
        <f>95/3</f>
        <v>31.666666666666668</v>
      </c>
      <c r="D26" s="5" t="s">
        <v>14</v>
      </c>
      <c r="E26" s="5" t="s">
        <v>83</v>
      </c>
      <c r="F26" s="5"/>
      <c r="H26" s="5" t="s">
        <v>61</v>
      </c>
      <c r="I26" s="5">
        <v>5</v>
      </c>
      <c r="J26" s="5" t="s">
        <v>17</v>
      </c>
      <c r="K26" s="6">
        <f>C12*I26</f>
        <v>49.15</v>
      </c>
      <c r="M26" s="13" t="s">
        <v>86</v>
      </c>
      <c r="N26" s="3"/>
      <c r="O26" s="3"/>
      <c r="P26" s="3"/>
      <c r="R26" s="5" t="s">
        <v>87</v>
      </c>
      <c r="S26" s="5">
        <v>5</v>
      </c>
      <c r="T26" s="5" t="s">
        <v>19</v>
      </c>
      <c r="U26" s="6">
        <f>(20.4/1000)*5</f>
        <v>0.10199999999999999</v>
      </c>
    </row>
    <row r="27" spans="2:21" x14ac:dyDescent="0.3">
      <c r="B27" s="5" t="s">
        <v>88</v>
      </c>
      <c r="C27" s="6">
        <v>1.8</v>
      </c>
      <c r="D27" s="5" t="s">
        <v>22</v>
      </c>
      <c r="E27" s="5" t="s">
        <v>89</v>
      </c>
      <c r="F27" s="5"/>
      <c r="H27" s="7" t="s">
        <v>90</v>
      </c>
      <c r="I27" s="5">
        <v>10</v>
      </c>
      <c r="J27" s="5" t="s">
        <v>34</v>
      </c>
      <c r="K27" s="6">
        <v>0</v>
      </c>
      <c r="M27" s="4" t="s">
        <v>7</v>
      </c>
      <c r="N27" s="4" t="s">
        <v>12</v>
      </c>
      <c r="O27" s="4" t="s">
        <v>9</v>
      </c>
      <c r="P27" s="4" t="s">
        <v>8</v>
      </c>
      <c r="R27" s="5" t="s">
        <v>91</v>
      </c>
      <c r="S27" s="5"/>
      <c r="T27" s="5"/>
      <c r="U27" s="6"/>
    </row>
    <row r="28" spans="2:21" x14ac:dyDescent="0.3">
      <c r="B28" s="5" t="s">
        <v>92</v>
      </c>
      <c r="C28" s="23">
        <v>7.0000000000000001E-3</v>
      </c>
      <c r="D28" s="5" t="s">
        <v>14</v>
      </c>
      <c r="E28" s="5" t="s">
        <v>93</v>
      </c>
      <c r="F28" s="5"/>
      <c r="M28" s="5" t="s">
        <v>94</v>
      </c>
      <c r="N28" s="5">
        <v>0.35</v>
      </c>
      <c r="O28" s="5" t="s">
        <v>17</v>
      </c>
      <c r="P28" s="6">
        <f>C12*N28</f>
        <v>3.4404999999999997</v>
      </c>
      <c r="R28" s="5" t="s">
        <v>60</v>
      </c>
      <c r="S28" s="5">
        <v>5</v>
      </c>
      <c r="T28" s="5" t="s">
        <v>19</v>
      </c>
      <c r="U28" s="6">
        <v>0.08</v>
      </c>
    </row>
    <row r="29" spans="2:21" x14ac:dyDescent="0.3">
      <c r="B29" s="5" t="s">
        <v>95</v>
      </c>
      <c r="C29" s="6">
        <f>K38/6</f>
        <v>0.74033333333333318</v>
      </c>
      <c r="D29" s="5" t="s">
        <v>14</v>
      </c>
      <c r="E29" s="5" t="s">
        <v>83</v>
      </c>
      <c r="F29" s="5"/>
      <c r="H29" s="4" t="s">
        <v>69</v>
      </c>
      <c r="I29" s="10">
        <f>I26*1.1</f>
        <v>5.5</v>
      </c>
      <c r="J29" s="11" t="s">
        <v>22</v>
      </c>
      <c r="K29" s="12">
        <f>SUM(K24:K26)</f>
        <v>49.15</v>
      </c>
      <c r="M29" s="5" t="s">
        <v>41</v>
      </c>
      <c r="N29" s="5">
        <v>50</v>
      </c>
      <c r="O29" s="5" t="s">
        <v>19</v>
      </c>
      <c r="P29" s="6">
        <f>C13/(1000/N29)</f>
        <v>1.8350000000000002</v>
      </c>
      <c r="R29" s="5" t="s">
        <v>46</v>
      </c>
      <c r="S29" s="5">
        <v>5</v>
      </c>
      <c r="T29" s="5" t="s">
        <v>19</v>
      </c>
      <c r="U29" s="6">
        <f>C14/(1000/S29)</f>
        <v>0.56999999999999995</v>
      </c>
    </row>
    <row r="30" spans="2:21" x14ac:dyDescent="0.3">
      <c r="B30" s="5" t="s">
        <v>36</v>
      </c>
      <c r="C30" s="6">
        <v>28</v>
      </c>
      <c r="D30" s="5" t="s">
        <v>22</v>
      </c>
      <c r="E30" s="5" t="s">
        <v>96</v>
      </c>
      <c r="F30" s="5"/>
      <c r="H30" s="5" t="s">
        <v>73</v>
      </c>
      <c r="I30" s="5">
        <v>0.1</v>
      </c>
      <c r="J30" s="5" t="s">
        <v>22</v>
      </c>
      <c r="K30" s="6">
        <f>K29/(I29/I30)</f>
        <v>0.89363636363636356</v>
      </c>
      <c r="M30" s="5" t="s">
        <v>46</v>
      </c>
      <c r="N30" s="5">
        <v>10</v>
      </c>
      <c r="O30" s="5" t="s">
        <v>19</v>
      </c>
      <c r="P30" s="6">
        <f>C14/(1000/10)</f>
        <v>1.1399999999999999</v>
      </c>
      <c r="R30" s="5" t="s">
        <v>97</v>
      </c>
      <c r="S30" s="5">
        <v>5</v>
      </c>
      <c r="T30" s="5" t="s">
        <v>19</v>
      </c>
      <c r="U30" s="6">
        <f>(C35/1000)*S30</f>
        <v>0.10887500000000001</v>
      </c>
    </row>
    <row r="31" spans="2:21" x14ac:dyDescent="0.3">
      <c r="B31" s="5" t="s">
        <v>98</v>
      </c>
      <c r="C31" s="6">
        <v>28</v>
      </c>
      <c r="D31" s="5" t="s">
        <v>22</v>
      </c>
      <c r="E31" s="5" t="s">
        <v>96</v>
      </c>
      <c r="F31" s="5"/>
      <c r="M31" s="5" t="s">
        <v>50</v>
      </c>
      <c r="N31" s="5">
        <v>5</v>
      </c>
      <c r="O31" s="5" t="s">
        <v>19</v>
      </c>
      <c r="P31" s="6">
        <f>C15/(1000/N31)</f>
        <v>7.4999999999999997E-2</v>
      </c>
      <c r="T31" s="16" t="s">
        <v>39</v>
      </c>
      <c r="U31" s="19">
        <f>SUM(U23:U30)</f>
        <v>7.9718750000000007</v>
      </c>
    </row>
    <row r="32" spans="2:21" x14ac:dyDescent="0.3">
      <c r="B32" s="5" t="s">
        <v>99</v>
      </c>
      <c r="C32" s="6"/>
      <c r="D32" s="5"/>
      <c r="E32" s="5" t="s">
        <v>100</v>
      </c>
      <c r="F32" s="5"/>
      <c r="H32" s="13" t="s">
        <v>101</v>
      </c>
      <c r="I32" s="3"/>
      <c r="J32" s="3"/>
      <c r="K32" s="3"/>
      <c r="M32" s="5" t="s">
        <v>102</v>
      </c>
      <c r="N32" s="5">
        <v>10</v>
      </c>
      <c r="O32" s="5" t="s">
        <v>19</v>
      </c>
      <c r="P32" s="6">
        <f>C$16/(1000/N32)</f>
        <v>0.54400000000000004</v>
      </c>
      <c r="T32" s="17" t="s">
        <v>45</v>
      </c>
      <c r="U32" s="21">
        <v>29.9</v>
      </c>
    </row>
    <row r="33" spans="2:21" x14ac:dyDescent="0.3">
      <c r="B33" s="5" t="s">
        <v>103</v>
      </c>
      <c r="C33" s="6">
        <v>20.399999999999999</v>
      </c>
      <c r="D33" s="5" t="s">
        <v>22</v>
      </c>
      <c r="E33" s="5" t="s">
        <v>96</v>
      </c>
      <c r="F33" s="5"/>
      <c r="H33" s="4" t="s">
        <v>7</v>
      </c>
      <c r="I33" s="4" t="s">
        <v>12</v>
      </c>
      <c r="J33" s="4" t="s">
        <v>9</v>
      </c>
      <c r="K33" s="4" t="s">
        <v>8</v>
      </c>
      <c r="O33" s="16" t="s">
        <v>39</v>
      </c>
      <c r="P33" s="19">
        <f>SUM(P28:P32)</f>
        <v>7.0344999999999995</v>
      </c>
      <c r="T33" s="18" t="s">
        <v>76</v>
      </c>
      <c r="U33" s="20">
        <f>U32-U31</f>
        <v>21.928124999999998</v>
      </c>
    </row>
    <row r="34" spans="2:21" x14ac:dyDescent="0.3">
      <c r="B34" s="5" t="s">
        <v>91</v>
      </c>
      <c r="C34" s="6"/>
      <c r="D34" s="5"/>
      <c r="E34" s="5"/>
      <c r="F34" s="5"/>
      <c r="H34" s="5" t="str">
        <f>B25</f>
        <v>Chá Mate Tostado (Check MATE - Sachê 110g)</v>
      </c>
      <c r="I34" s="5">
        <v>1</v>
      </c>
      <c r="J34" s="5" t="s">
        <v>104</v>
      </c>
      <c r="K34" s="6">
        <f>C25</f>
        <v>4.3999999999999995</v>
      </c>
      <c r="O34" s="17" t="s">
        <v>45</v>
      </c>
      <c r="P34" s="21">
        <v>25.9</v>
      </c>
      <c r="T34" t="s">
        <v>52</v>
      </c>
      <c r="U34" s="22">
        <f>U31/U32</f>
        <v>0.26661789297658867</v>
      </c>
    </row>
    <row r="35" spans="2:21" x14ac:dyDescent="0.3">
      <c r="B35" s="5" t="s">
        <v>97</v>
      </c>
      <c r="C35" s="6">
        <f>(8.71/4)*10</f>
        <v>21.775000000000002</v>
      </c>
      <c r="D35" s="5" t="s">
        <v>22</v>
      </c>
      <c r="E35" s="5" t="s">
        <v>105</v>
      </c>
      <c r="F35" s="5"/>
      <c r="H35" s="5" t="str">
        <f>B28</f>
        <v>Água encanada</v>
      </c>
      <c r="I35" s="5">
        <v>6</v>
      </c>
      <c r="J35" s="5" t="s">
        <v>106</v>
      </c>
      <c r="K35" s="6">
        <f>C28*6</f>
        <v>4.2000000000000003E-2</v>
      </c>
      <c r="O35" s="18" t="s">
        <v>76</v>
      </c>
      <c r="P35" s="20">
        <f>P34-P33</f>
        <v>18.865499999999997</v>
      </c>
    </row>
    <row r="36" spans="2:21" x14ac:dyDescent="0.3">
      <c r="B36" s="5" t="s">
        <v>107</v>
      </c>
      <c r="C36" s="6"/>
      <c r="D36" s="5"/>
      <c r="E36" s="5"/>
      <c r="F36" s="5"/>
      <c r="O36" t="s">
        <v>52</v>
      </c>
      <c r="P36" s="22">
        <f>P33/P34</f>
        <v>0.2716023166023166</v>
      </c>
      <c r="R36" s="13" t="s">
        <v>108</v>
      </c>
      <c r="S36" s="13" t="s">
        <v>109</v>
      </c>
      <c r="T36" s="3"/>
      <c r="U36" s="3"/>
    </row>
    <row r="37" spans="2:21" x14ac:dyDescent="0.3">
      <c r="B37" s="5" t="s">
        <v>110</v>
      </c>
      <c r="C37" s="6"/>
      <c r="D37" s="5"/>
      <c r="E37" s="5"/>
      <c r="F37" s="5"/>
      <c r="H37" s="4" t="s">
        <v>111</v>
      </c>
      <c r="I37" s="4" t="s">
        <v>12</v>
      </c>
      <c r="J37" s="4" t="s">
        <v>9</v>
      </c>
      <c r="K37" s="4" t="s">
        <v>8</v>
      </c>
      <c r="R37" s="4" t="s">
        <v>7</v>
      </c>
      <c r="S37" s="4" t="s">
        <v>12</v>
      </c>
      <c r="T37" s="4" t="s">
        <v>9</v>
      </c>
      <c r="U37" s="4" t="s">
        <v>8</v>
      </c>
    </row>
    <row r="38" spans="2:21" x14ac:dyDescent="0.3">
      <c r="B38" s="5" t="s">
        <v>112</v>
      </c>
      <c r="C38" s="6"/>
      <c r="D38" s="5"/>
      <c r="E38" s="5"/>
      <c r="F38" s="5"/>
      <c r="H38" s="5" t="s">
        <v>113</v>
      </c>
      <c r="I38" s="5">
        <v>6</v>
      </c>
      <c r="J38" s="5" t="s">
        <v>106</v>
      </c>
      <c r="K38" s="6">
        <f>SUM($K$34:$K$35)</f>
        <v>4.4419999999999993</v>
      </c>
      <c r="M38" s="13" t="s">
        <v>114</v>
      </c>
      <c r="N38" s="3"/>
      <c r="O38" s="3"/>
      <c r="P38" s="3"/>
      <c r="R38" s="5" t="s">
        <v>115</v>
      </c>
      <c r="S38" s="5">
        <v>100</v>
      </c>
      <c r="T38" s="5" t="s">
        <v>19</v>
      </c>
      <c r="U38" s="6">
        <v>0</v>
      </c>
    </row>
    <row r="39" spans="2:21" x14ac:dyDescent="0.3">
      <c r="B39" s="5" t="s">
        <v>116</v>
      </c>
      <c r="C39" s="6">
        <f>116.3/4</f>
        <v>29.074999999999999</v>
      </c>
      <c r="D39" s="5" t="s">
        <v>22</v>
      </c>
      <c r="E39" s="5" t="s">
        <v>96</v>
      </c>
      <c r="F39" s="5"/>
      <c r="M39" s="4" t="s">
        <v>7</v>
      </c>
      <c r="N39" s="4" t="s">
        <v>12</v>
      </c>
      <c r="O39" s="4"/>
      <c r="P39" s="4"/>
      <c r="R39" s="5" t="s">
        <v>107</v>
      </c>
      <c r="S39" s="5">
        <v>1</v>
      </c>
      <c r="T39" s="5" t="s">
        <v>26</v>
      </c>
      <c r="U39" s="6">
        <v>0</v>
      </c>
    </row>
    <row r="40" spans="2:21" x14ac:dyDescent="0.3">
      <c r="B40" s="5" t="s">
        <v>117</v>
      </c>
      <c r="C40" s="5"/>
      <c r="D40" s="5"/>
      <c r="E40" s="5"/>
      <c r="F40" s="5"/>
      <c r="H40" s="13" t="s">
        <v>118</v>
      </c>
      <c r="I40" s="3"/>
      <c r="J40" s="3"/>
      <c r="K40" s="3"/>
      <c r="M40" s="5" t="s">
        <v>37</v>
      </c>
      <c r="N40" s="5">
        <v>200</v>
      </c>
      <c r="O40" s="5" t="s">
        <v>119</v>
      </c>
      <c r="P40" s="6">
        <f>K30*2</f>
        <v>1.7872727272727271</v>
      </c>
      <c r="R40" s="5" t="s">
        <v>46</v>
      </c>
      <c r="S40" s="5">
        <v>1</v>
      </c>
      <c r="T40" s="5" t="s">
        <v>26</v>
      </c>
      <c r="U40" s="6">
        <v>0</v>
      </c>
    </row>
    <row r="41" spans="2:21" x14ac:dyDescent="0.3">
      <c r="B41" s="5" t="s">
        <v>120</v>
      </c>
      <c r="C41" s="6">
        <v>77</v>
      </c>
      <c r="D41" s="5" t="s">
        <v>14</v>
      </c>
      <c r="E41" s="5" t="s">
        <v>121</v>
      </c>
      <c r="F41" s="5"/>
      <c r="H41" s="4" t="s">
        <v>7</v>
      </c>
      <c r="I41" s="4" t="s">
        <v>12</v>
      </c>
      <c r="J41" s="4" t="s">
        <v>9</v>
      </c>
      <c r="K41" s="4" t="s">
        <v>8</v>
      </c>
      <c r="M41" s="5" t="s">
        <v>122</v>
      </c>
      <c r="N41" s="5">
        <v>3</v>
      </c>
      <c r="O41" s="5" t="s">
        <v>19</v>
      </c>
      <c r="P41" s="6">
        <f>C17/(1000/N41)</f>
        <v>0.38970000000000005</v>
      </c>
      <c r="R41" s="5"/>
      <c r="S41" s="5">
        <v>1</v>
      </c>
      <c r="T41" s="5" t="s">
        <v>26</v>
      </c>
      <c r="U41" s="6">
        <v>0</v>
      </c>
    </row>
    <row r="42" spans="2:21" x14ac:dyDescent="0.3">
      <c r="B42" s="48" t="s">
        <v>123</v>
      </c>
      <c r="C42" s="55">
        <v>58.07</v>
      </c>
      <c r="D42" s="48" t="s">
        <v>22</v>
      </c>
      <c r="E42" s="48" t="s">
        <v>124</v>
      </c>
      <c r="F42" s="56">
        <v>45925</v>
      </c>
      <c r="H42" s="5" t="s">
        <v>125</v>
      </c>
      <c r="I42" s="5">
        <v>5</v>
      </c>
      <c r="J42" s="5" t="s">
        <v>17</v>
      </c>
      <c r="K42" s="6">
        <v>38.5</v>
      </c>
      <c r="M42" s="5" t="s">
        <v>60</v>
      </c>
      <c r="N42" s="5">
        <v>5</v>
      </c>
      <c r="O42" s="5" t="s">
        <v>119</v>
      </c>
      <c r="P42" s="6">
        <f>C18/(1000/N42)</f>
        <v>7.4999999999999997E-2</v>
      </c>
      <c r="T42" s="16" t="s">
        <v>39</v>
      </c>
      <c r="U42" s="19">
        <f>SUM(U38:U41)</f>
        <v>0</v>
      </c>
    </row>
    <row r="43" spans="2:21" x14ac:dyDescent="0.3">
      <c r="B43" s="48" t="s">
        <v>126</v>
      </c>
      <c r="C43" s="55">
        <v>53.99</v>
      </c>
      <c r="D43" s="48" t="s">
        <v>42</v>
      </c>
      <c r="E43" s="48" t="s">
        <v>127</v>
      </c>
      <c r="F43" s="56">
        <v>45925</v>
      </c>
      <c r="H43" s="5" t="s">
        <v>128</v>
      </c>
      <c r="I43" s="5">
        <v>1</v>
      </c>
      <c r="J43" s="5" t="s">
        <v>42</v>
      </c>
      <c r="K43" s="6">
        <f>116.3/4</f>
        <v>29.074999999999999</v>
      </c>
      <c r="M43" s="5" t="s">
        <v>46</v>
      </c>
      <c r="N43" s="5">
        <v>5</v>
      </c>
      <c r="O43" s="5" t="s">
        <v>19</v>
      </c>
      <c r="P43" s="6">
        <f>C14/(1000/N43)</f>
        <v>0.56999999999999995</v>
      </c>
      <c r="R43" s="5"/>
      <c r="T43" s="17" t="s">
        <v>45</v>
      </c>
      <c r="U43" s="21">
        <v>9.9</v>
      </c>
    </row>
    <row r="44" spans="2:21" x14ac:dyDescent="0.3">
      <c r="B44" s="57" t="s">
        <v>129</v>
      </c>
      <c r="C44" s="55">
        <v>87.79</v>
      </c>
      <c r="D44" s="48" t="s">
        <v>42</v>
      </c>
      <c r="E44" s="48" t="s">
        <v>124</v>
      </c>
      <c r="F44" s="56">
        <v>45925</v>
      </c>
      <c r="H44" s="7" t="s">
        <v>130</v>
      </c>
      <c r="I44" s="5">
        <v>50</v>
      </c>
      <c r="J44" s="5" t="s">
        <v>131</v>
      </c>
      <c r="K44" s="6">
        <v>0</v>
      </c>
      <c r="M44" s="5" t="s">
        <v>16</v>
      </c>
      <c r="N44" s="5">
        <v>10</v>
      </c>
      <c r="O44" s="5" t="s">
        <v>119</v>
      </c>
      <c r="P44" s="6">
        <f>C19/(1000/N44)</f>
        <v>4.99E-2</v>
      </c>
      <c r="T44" s="18" t="s">
        <v>49</v>
      </c>
      <c r="U44" s="20">
        <f>U43-U42</f>
        <v>9.9</v>
      </c>
    </row>
    <row r="45" spans="2:21" x14ac:dyDescent="0.3">
      <c r="B45" s="57" t="s">
        <v>132</v>
      </c>
      <c r="C45" s="55">
        <v>51.88</v>
      </c>
      <c r="D45" s="48" t="s">
        <v>42</v>
      </c>
      <c r="E45" s="48" t="s">
        <v>124</v>
      </c>
      <c r="F45" s="56">
        <v>45925</v>
      </c>
      <c r="O45" s="16" t="s">
        <v>39</v>
      </c>
      <c r="P45" s="19">
        <f>SUM(P40:P44)</f>
        <v>2.8718727272727271</v>
      </c>
      <c r="T45" t="s">
        <v>52</v>
      </c>
      <c r="U45" s="22">
        <f>U42/U43</f>
        <v>0</v>
      </c>
    </row>
    <row r="46" spans="2:21" x14ac:dyDescent="0.3">
      <c r="B46" s="57" t="s">
        <v>133</v>
      </c>
      <c r="C46" s="55">
        <v>48.92</v>
      </c>
      <c r="D46" s="48" t="s">
        <v>42</v>
      </c>
      <c r="E46" s="48" t="s">
        <v>124</v>
      </c>
      <c r="F46" s="56">
        <v>45925</v>
      </c>
      <c r="H46" s="4" t="s">
        <v>69</v>
      </c>
      <c r="I46" s="10">
        <f>I42*1.5</f>
        <v>7.5</v>
      </c>
      <c r="J46" s="11" t="s">
        <v>22</v>
      </c>
      <c r="K46" s="12">
        <f>SUM(K42:K44)</f>
        <v>67.575000000000003</v>
      </c>
      <c r="O46" s="17" t="s">
        <v>45</v>
      </c>
      <c r="P46" s="21">
        <v>8.9</v>
      </c>
    </row>
    <row r="47" spans="2:21" x14ac:dyDescent="0.3">
      <c r="H47" s="5" t="s">
        <v>134</v>
      </c>
      <c r="I47" s="5">
        <v>0.1</v>
      </c>
      <c r="J47" s="5" t="s">
        <v>22</v>
      </c>
      <c r="K47" s="6">
        <f>K46/75</f>
        <v>0.90100000000000002</v>
      </c>
      <c r="O47" s="18" t="s">
        <v>76</v>
      </c>
      <c r="P47" s="20">
        <f>P46-P45</f>
        <v>6.0281272727272732</v>
      </c>
    </row>
    <row r="48" spans="2:21" x14ac:dyDescent="0.3">
      <c r="O48" t="s">
        <v>52</v>
      </c>
      <c r="P48" s="22">
        <f>P45/P46</f>
        <v>0.32268232890704796</v>
      </c>
      <c r="R48" s="13" t="s">
        <v>135</v>
      </c>
      <c r="S48" s="3"/>
      <c r="T48" s="3"/>
      <c r="U48" s="3"/>
    </row>
    <row r="49" spans="2:21" x14ac:dyDescent="0.3">
      <c r="H49" s="13" t="s">
        <v>136</v>
      </c>
      <c r="I49" s="3"/>
      <c r="J49" s="3"/>
      <c r="K49" s="3"/>
      <c r="R49" s="4" t="s">
        <v>7</v>
      </c>
      <c r="S49" s="4" t="s">
        <v>12</v>
      </c>
      <c r="T49" s="4" t="s">
        <v>9</v>
      </c>
      <c r="U49" s="4" t="s">
        <v>8</v>
      </c>
    </row>
    <row r="50" spans="2:21" x14ac:dyDescent="0.3">
      <c r="H50" s="4" t="s">
        <v>7</v>
      </c>
      <c r="I50" s="4" t="s">
        <v>12</v>
      </c>
      <c r="J50" s="4" t="s">
        <v>9</v>
      </c>
      <c r="K50" s="4" t="s">
        <v>8</v>
      </c>
      <c r="M50" s="13" t="s">
        <v>137</v>
      </c>
      <c r="N50" s="3"/>
      <c r="O50" s="3"/>
      <c r="P50" s="3"/>
      <c r="R50" s="5" t="s">
        <v>138</v>
      </c>
      <c r="S50" s="5">
        <v>100</v>
      </c>
      <c r="T50" s="5" t="s">
        <v>19</v>
      </c>
      <c r="U50" s="6">
        <f>P57</f>
        <v>0.56999999999999995</v>
      </c>
    </row>
    <row r="51" spans="2:21" x14ac:dyDescent="0.3">
      <c r="H51" s="5" t="s">
        <v>125</v>
      </c>
      <c r="I51" s="5">
        <v>5</v>
      </c>
      <c r="J51" s="5" t="s">
        <v>17</v>
      </c>
      <c r="K51" s="6">
        <v>38.5</v>
      </c>
      <c r="M51" s="4" t="s">
        <v>7</v>
      </c>
      <c r="N51" s="4" t="s">
        <v>12</v>
      </c>
      <c r="O51" s="4"/>
      <c r="P51" s="4"/>
      <c r="R51" s="5" t="s">
        <v>110</v>
      </c>
      <c r="S51" s="5">
        <v>1</v>
      </c>
      <c r="T51" s="5" t="s">
        <v>26</v>
      </c>
      <c r="U51" s="6">
        <f>I85</f>
        <v>0</v>
      </c>
    </row>
    <row r="52" spans="2:21" x14ac:dyDescent="0.3">
      <c r="B52" s="13" t="s">
        <v>139</v>
      </c>
      <c r="C52" s="3"/>
      <c r="D52" s="3"/>
      <c r="E52" s="3"/>
      <c r="F52" s="3"/>
      <c r="H52" s="5" t="s">
        <v>128</v>
      </c>
      <c r="I52" s="5">
        <v>1</v>
      </c>
      <c r="J52" s="5" t="s">
        <v>42</v>
      </c>
      <c r="K52" s="6">
        <f>116.3/4</f>
        <v>29.074999999999999</v>
      </c>
      <c r="M52" s="5" t="s">
        <v>37</v>
      </c>
      <c r="N52" s="5">
        <v>250</v>
      </c>
      <c r="O52" s="5" t="s">
        <v>119</v>
      </c>
      <c r="P52" s="6">
        <f>K30*(N52/100)</f>
        <v>2.2340909090909089</v>
      </c>
      <c r="R52" s="5" t="s">
        <v>112</v>
      </c>
      <c r="S52" s="5">
        <v>1</v>
      </c>
      <c r="T52" s="5" t="s">
        <v>26</v>
      </c>
      <c r="U52" s="6">
        <f>I88</f>
        <v>0</v>
      </c>
    </row>
    <row r="53" spans="2:21" x14ac:dyDescent="0.3">
      <c r="B53" s="4" t="s">
        <v>7</v>
      </c>
      <c r="C53" s="4" t="s">
        <v>8</v>
      </c>
      <c r="D53" s="4" t="s">
        <v>9</v>
      </c>
      <c r="E53" s="4" t="s">
        <v>10</v>
      </c>
      <c r="F53" s="4"/>
      <c r="H53" s="7" t="s">
        <v>130</v>
      </c>
      <c r="I53" s="5">
        <v>50</v>
      </c>
      <c r="J53" s="5" t="s">
        <v>131</v>
      </c>
      <c r="K53" s="6">
        <v>0</v>
      </c>
      <c r="M53" s="5" t="s">
        <v>74</v>
      </c>
      <c r="N53" s="5">
        <v>60</v>
      </c>
      <c r="O53" s="5" t="s">
        <v>19</v>
      </c>
      <c r="P53" s="6">
        <f>C23/(1000/N53)</f>
        <v>3.4067999999999996</v>
      </c>
      <c r="R53" s="5"/>
      <c r="S53" s="5">
        <v>1</v>
      </c>
      <c r="T53" s="5" t="s">
        <v>26</v>
      </c>
      <c r="U53" s="6">
        <v>0.19</v>
      </c>
    </row>
    <row r="54" spans="2:21" x14ac:dyDescent="0.3">
      <c r="B54" s="48" t="s">
        <v>25</v>
      </c>
      <c r="C54" s="49">
        <v>0.25</v>
      </c>
      <c r="D54" s="48" t="s">
        <v>140</v>
      </c>
      <c r="E54" s="48" t="s">
        <v>51</v>
      </c>
      <c r="F54" s="48"/>
      <c r="M54" s="5" t="s">
        <v>141</v>
      </c>
      <c r="N54" s="5">
        <v>60</v>
      </c>
      <c r="O54" s="5" t="s">
        <v>19</v>
      </c>
      <c r="P54" s="6">
        <f>C22/(1000/N54)</f>
        <v>5.4959999999999996</v>
      </c>
      <c r="T54" s="16" t="s">
        <v>39</v>
      </c>
      <c r="U54" s="19">
        <f>SUM(U50:U53)</f>
        <v>0.76</v>
      </c>
    </row>
    <row r="55" spans="2:21" x14ac:dyDescent="0.3">
      <c r="B55" s="48" t="s">
        <v>53</v>
      </c>
      <c r="C55" s="49">
        <v>0.41</v>
      </c>
      <c r="D55" s="48" t="s">
        <v>140</v>
      </c>
      <c r="E55" s="48" t="s">
        <v>142</v>
      </c>
      <c r="F55" s="48"/>
      <c r="H55" s="4" t="s">
        <v>69</v>
      </c>
      <c r="I55" s="10">
        <f>I51*1.5</f>
        <v>7.5</v>
      </c>
      <c r="J55" s="11" t="s">
        <v>22</v>
      </c>
      <c r="K55" s="12">
        <f>SUM(K51:K53)</f>
        <v>67.575000000000003</v>
      </c>
      <c r="M55" s="5" t="s">
        <v>60</v>
      </c>
      <c r="N55" s="5">
        <v>15</v>
      </c>
      <c r="O55" s="5" t="s">
        <v>119</v>
      </c>
      <c r="P55" s="6">
        <f>C18/(1000/N55)</f>
        <v>0.22499999999999998</v>
      </c>
      <c r="R55" s="5" t="s">
        <v>143</v>
      </c>
      <c r="T55" s="17" t="s">
        <v>45</v>
      </c>
      <c r="U55" s="21">
        <v>9.9</v>
      </c>
    </row>
    <row r="56" spans="2:21" x14ac:dyDescent="0.3">
      <c r="B56" s="48" t="s">
        <v>144</v>
      </c>
      <c r="C56" s="49">
        <v>0.72</v>
      </c>
      <c r="D56" s="48" t="s">
        <v>140</v>
      </c>
      <c r="E56" s="48" t="s">
        <v>142</v>
      </c>
      <c r="F56" s="48"/>
      <c r="H56" s="5" t="s">
        <v>134</v>
      </c>
      <c r="I56" s="5">
        <v>0.1</v>
      </c>
      <c r="J56" s="5" t="s">
        <v>22</v>
      </c>
      <c r="K56" s="6">
        <f>K55/75</f>
        <v>0.90100000000000002</v>
      </c>
      <c r="M56" s="5" t="s">
        <v>78</v>
      </c>
      <c r="N56" s="5">
        <v>20</v>
      </c>
      <c r="O56" s="5" t="s">
        <v>19</v>
      </c>
      <c r="P56" s="6">
        <f>C24/(1000/N56)</f>
        <v>0.51400000000000001</v>
      </c>
      <c r="T56" s="18" t="s">
        <v>49</v>
      </c>
      <c r="U56" s="20">
        <f>U55-U54</f>
        <v>9.14</v>
      </c>
    </row>
    <row r="57" spans="2:21" x14ac:dyDescent="0.3">
      <c r="B57" s="50" t="s">
        <v>28</v>
      </c>
      <c r="C57" s="51">
        <v>0.01</v>
      </c>
      <c r="D57" s="50" t="s">
        <v>140</v>
      </c>
      <c r="E57" s="52" t="s">
        <v>145</v>
      </c>
      <c r="F57" s="52"/>
      <c r="M57" s="5" t="s">
        <v>46</v>
      </c>
      <c r="N57" s="5">
        <v>5</v>
      </c>
      <c r="O57" s="5" t="s">
        <v>19</v>
      </c>
      <c r="P57" s="6">
        <f>C14/(1000/N57)</f>
        <v>0.56999999999999995</v>
      </c>
      <c r="T57" t="s">
        <v>52</v>
      </c>
      <c r="U57" s="22">
        <f>U54/U55</f>
        <v>7.6767676767676762E-2</v>
      </c>
    </row>
    <row r="58" spans="2:21" x14ac:dyDescent="0.3">
      <c r="B58" s="5" t="s">
        <v>146</v>
      </c>
      <c r="C58" s="6">
        <v>0.03</v>
      </c>
      <c r="D58" s="5" t="s">
        <v>140</v>
      </c>
      <c r="E58" s="15" t="s">
        <v>147</v>
      </c>
      <c r="F58" s="15"/>
      <c r="H58" s="13" t="s">
        <v>4</v>
      </c>
      <c r="I58" s="3"/>
      <c r="J58" s="3"/>
      <c r="K58" s="3"/>
      <c r="M58" s="5" t="s">
        <v>148</v>
      </c>
      <c r="N58" s="5">
        <v>12</v>
      </c>
      <c r="O58" s="5" t="s">
        <v>19</v>
      </c>
      <c r="P58" s="6">
        <f>C20/(1000/N58)</f>
        <v>0.33360000000000001</v>
      </c>
    </row>
    <row r="59" spans="2:21" x14ac:dyDescent="0.3">
      <c r="B59" s="5" t="s">
        <v>35</v>
      </c>
      <c r="C59" s="6">
        <v>0.19</v>
      </c>
      <c r="D59" s="5" t="s">
        <v>140</v>
      </c>
      <c r="E59" s="15" t="s">
        <v>147</v>
      </c>
      <c r="F59" s="15"/>
      <c r="H59" s="4" t="s">
        <v>7</v>
      </c>
      <c r="I59" s="4" t="s">
        <v>12</v>
      </c>
      <c r="J59" s="4" t="s">
        <v>9</v>
      </c>
      <c r="K59" s="4" t="s">
        <v>8</v>
      </c>
      <c r="M59" s="5" t="s">
        <v>149</v>
      </c>
      <c r="N59" s="5">
        <v>10</v>
      </c>
      <c r="O59" s="5" t="s">
        <v>19</v>
      </c>
      <c r="P59" s="6">
        <f>C21/(1000/N59)</f>
        <v>0.49249999999999999</v>
      </c>
      <c r="R59" s="13" t="s">
        <v>150</v>
      </c>
      <c r="S59" s="3"/>
      <c r="T59" s="3"/>
      <c r="U59" s="3"/>
    </row>
    <row r="60" spans="2:21" x14ac:dyDescent="0.3">
      <c r="H60" s="5" t="s">
        <v>16</v>
      </c>
      <c r="I60" s="5">
        <v>4</v>
      </c>
      <c r="J60" s="5" t="s">
        <v>17</v>
      </c>
      <c r="K60" s="6">
        <f>C19*4</f>
        <v>19.96</v>
      </c>
      <c r="O60" s="16" t="s">
        <v>39</v>
      </c>
      <c r="P60" s="19">
        <f>SUM(P52:P57)</f>
        <v>12.445890909090908</v>
      </c>
      <c r="R60" s="4" t="s">
        <v>7</v>
      </c>
      <c r="S60" s="4" t="s">
        <v>12</v>
      </c>
      <c r="T60" s="4" t="s">
        <v>9</v>
      </c>
      <c r="U60" s="4" t="s">
        <v>8</v>
      </c>
    </row>
    <row r="61" spans="2:21" x14ac:dyDescent="0.3">
      <c r="H61" s="5" t="s">
        <v>24</v>
      </c>
      <c r="I61" s="5">
        <v>1.6</v>
      </c>
      <c r="J61" s="5" t="s">
        <v>22</v>
      </c>
      <c r="K61" s="6">
        <v>124</v>
      </c>
      <c r="O61" s="17" t="s">
        <v>45</v>
      </c>
      <c r="P61" s="21">
        <v>32.9</v>
      </c>
      <c r="R61" s="5" t="s">
        <v>151</v>
      </c>
      <c r="S61" s="5">
        <v>2</v>
      </c>
      <c r="T61" s="5" t="s">
        <v>26</v>
      </c>
      <c r="U61" s="6">
        <f>K71</f>
        <v>0.57823529411764707</v>
      </c>
    </row>
    <row r="62" spans="2:21" x14ac:dyDescent="0.3">
      <c r="H62" s="5" t="s">
        <v>21</v>
      </c>
      <c r="I62" s="5">
        <v>0.4</v>
      </c>
      <c r="J62" s="5" t="s">
        <v>22</v>
      </c>
      <c r="K62" s="6">
        <f>C9*0.4</f>
        <v>32</v>
      </c>
      <c r="O62" s="18" t="s">
        <v>76</v>
      </c>
      <c r="P62" s="20">
        <f>P61-P60</f>
        <v>20.454109090909093</v>
      </c>
      <c r="R62" s="5" t="s">
        <v>152</v>
      </c>
      <c r="S62" s="5">
        <v>100</v>
      </c>
      <c r="T62" s="5" t="s">
        <v>19</v>
      </c>
      <c r="U62" s="6">
        <f>I96</f>
        <v>0</v>
      </c>
    </row>
    <row r="63" spans="2:21" x14ac:dyDescent="0.3">
      <c r="H63" s="7" t="s">
        <v>33</v>
      </c>
      <c r="I63" s="8">
        <v>30</v>
      </c>
      <c r="J63" s="9" t="s">
        <v>34</v>
      </c>
      <c r="K63" s="6">
        <v>0</v>
      </c>
      <c r="O63" t="s">
        <v>52</v>
      </c>
      <c r="P63" s="22">
        <f>P60/P61</f>
        <v>0.37829455650732247</v>
      </c>
      <c r="R63" s="5" t="s">
        <v>153</v>
      </c>
      <c r="S63" s="5">
        <v>100</v>
      </c>
      <c r="T63" s="5" t="s">
        <v>19</v>
      </c>
      <c r="U63" s="6">
        <f>I99</f>
        <v>0</v>
      </c>
    </row>
    <row r="64" spans="2:21" x14ac:dyDescent="0.3">
      <c r="R64" s="5" t="s">
        <v>154</v>
      </c>
      <c r="S64" s="5"/>
      <c r="T64" s="5"/>
      <c r="U64" s="6">
        <v>0.19</v>
      </c>
    </row>
    <row r="65" spans="8:21" x14ac:dyDescent="0.3">
      <c r="I65">
        <f>SUM(I60:I62)</f>
        <v>6</v>
      </c>
      <c r="K65" s="1">
        <f>SUM(K60:K62)</f>
        <v>175.96</v>
      </c>
      <c r="T65" s="16" t="s">
        <v>39</v>
      </c>
      <c r="U65" s="19">
        <f>SUM(U61:U64)</f>
        <v>0.76823529411764713</v>
      </c>
    </row>
    <row r="66" spans="8:21" x14ac:dyDescent="0.3">
      <c r="T66" s="17" t="s">
        <v>45</v>
      </c>
      <c r="U66" s="21">
        <v>9.9</v>
      </c>
    </row>
    <row r="67" spans="8:21" x14ac:dyDescent="0.3">
      <c r="I67">
        <f>I65*1.3</f>
        <v>7.8000000000000007</v>
      </c>
      <c r="K67" s="1"/>
      <c r="T67" s="18" t="s">
        <v>49</v>
      </c>
      <c r="U67" s="20">
        <f>U66-U65</f>
        <v>9.1317647058823539</v>
      </c>
    </row>
    <row r="68" spans="8:21" x14ac:dyDescent="0.3">
      <c r="T68" t="s">
        <v>52</v>
      </c>
      <c r="U68" s="22">
        <f>U65/U66</f>
        <v>7.7599524658348198E-2</v>
      </c>
    </row>
    <row r="69" spans="8:21" x14ac:dyDescent="0.3">
      <c r="H69" s="53" t="s">
        <v>155</v>
      </c>
      <c r="I69" s="48"/>
      <c r="J69" s="48"/>
      <c r="K69" s="48"/>
    </row>
    <row r="70" spans="8:21" x14ac:dyDescent="0.3">
      <c r="H70" s="4" t="s">
        <v>7</v>
      </c>
      <c r="I70" s="4" t="s">
        <v>12</v>
      </c>
      <c r="J70" s="4" t="s">
        <v>9</v>
      </c>
      <c r="K70" s="4" t="s">
        <v>8</v>
      </c>
      <c r="R70" s="13" t="s">
        <v>156</v>
      </c>
      <c r="S70" s="3"/>
      <c r="T70" s="3"/>
      <c r="U70" s="3"/>
    </row>
    <row r="71" spans="8:21" x14ac:dyDescent="0.3">
      <c r="H71" s="5" t="s">
        <v>20</v>
      </c>
      <c r="I71" s="5">
        <v>100</v>
      </c>
      <c r="J71" s="5" t="s">
        <v>119</v>
      </c>
      <c r="K71" s="6">
        <f>K22</f>
        <v>0.57823529411764707</v>
      </c>
      <c r="R71" s="4" t="s">
        <v>7</v>
      </c>
      <c r="S71" s="4" t="s">
        <v>12</v>
      </c>
      <c r="T71" s="4" t="s">
        <v>9</v>
      </c>
      <c r="U71" s="4" t="s">
        <v>8</v>
      </c>
    </row>
    <row r="72" spans="8:21" x14ac:dyDescent="0.3">
      <c r="H72" s="5" t="s">
        <v>25</v>
      </c>
      <c r="I72" s="5">
        <v>1</v>
      </c>
      <c r="J72" s="5" t="s">
        <v>26</v>
      </c>
      <c r="K72" s="6">
        <f>C54</f>
        <v>0.25</v>
      </c>
      <c r="R72" s="5" t="s">
        <v>157</v>
      </c>
      <c r="S72" s="5">
        <v>100</v>
      </c>
      <c r="T72" s="5" t="s">
        <v>19</v>
      </c>
      <c r="U72" s="6">
        <f>P79</f>
        <v>2.815384615384616</v>
      </c>
    </row>
    <row r="73" spans="8:21" x14ac:dyDescent="0.3">
      <c r="H73" s="5" t="s">
        <v>28</v>
      </c>
      <c r="I73" s="5">
        <v>1</v>
      </c>
      <c r="J73" s="5" t="s">
        <v>26</v>
      </c>
      <c r="K73" s="6">
        <f>C57</f>
        <v>0.01</v>
      </c>
      <c r="R73" s="5" t="s">
        <v>158</v>
      </c>
      <c r="S73" s="5">
        <v>1</v>
      </c>
      <c r="T73" s="5" t="s">
        <v>26</v>
      </c>
      <c r="U73" s="6">
        <f>I107</f>
        <v>0</v>
      </c>
    </row>
    <row r="74" spans="8:21" x14ac:dyDescent="0.3">
      <c r="H74" s="5" t="s">
        <v>146</v>
      </c>
      <c r="I74" s="5">
        <v>1</v>
      </c>
      <c r="J74" s="5" t="s">
        <v>26</v>
      </c>
      <c r="K74" s="6">
        <f>C58</f>
        <v>0.03</v>
      </c>
      <c r="R74" s="5"/>
      <c r="S74" s="5">
        <v>1</v>
      </c>
      <c r="T74" s="5" t="s">
        <v>26</v>
      </c>
      <c r="U74" s="6">
        <f>I110</f>
        <v>0</v>
      </c>
    </row>
    <row r="75" spans="8:21" x14ac:dyDescent="0.3">
      <c r="J75" s="16" t="s">
        <v>39</v>
      </c>
      <c r="K75" s="19">
        <f>SUM(K71:K74)</f>
        <v>0.86823529411764711</v>
      </c>
      <c r="R75" s="5"/>
      <c r="S75" s="5">
        <v>1</v>
      </c>
      <c r="T75" s="5" t="s">
        <v>26</v>
      </c>
      <c r="U75" s="6">
        <v>0.19</v>
      </c>
    </row>
    <row r="76" spans="8:21" x14ac:dyDescent="0.3">
      <c r="J76" s="17" t="s">
        <v>45</v>
      </c>
      <c r="K76" s="21">
        <v>5</v>
      </c>
      <c r="T76" s="16" t="s">
        <v>39</v>
      </c>
      <c r="U76" s="19">
        <f>SUM(U72:U75)</f>
        <v>3.005384615384616</v>
      </c>
    </row>
    <row r="77" spans="8:21" x14ac:dyDescent="0.3">
      <c r="J77" s="18" t="s">
        <v>49</v>
      </c>
      <c r="K77" s="20">
        <f>K76-K75</f>
        <v>4.131764705882353</v>
      </c>
      <c r="M77" s="13" t="s">
        <v>159</v>
      </c>
      <c r="N77" s="3"/>
      <c r="O77" s="3"/>
      <c r="P77" s="3"/>
      <c r="T77" s="17" t="s">
        <v>45</v>
      </c>
      <c r="U77" s="21">
        <v>9.9</v>
      </c>
    </row>
    <row r="78" spans="8:21" x14ac:dyDescent="0.3">
      <c r="J78" t="s">
        <v>52</v>
      </c>
      <c r="K78" s="22">
        <f>K75/K76</f>
        <v>0.17364705882352943</v>
      </c>
      <c r="M78" s="4" t="s">
        <v>7</v>
      </c>
      <c r="N78" s="4" t="s">
        <v>12</v>
      </c>
      <c r="O78" s="4" t="s">
        <v>9</v>
      </c>
      <c r="P78" s="4" t="s">
        <v>8</v>
      </c>
      <c r="T78" s="18" t="s">
        <v>49</v>
      </c>
      <c r="U78" s="20">
        <f>U77-U76</f>
        <v>6.8946153846153848</v>
      </c>
    </row>
    <row r="79" spans="8:21" x14ac:dyDescent="0.3">
      <c r="M79" s="5" t="s">
        <v>160</v>
      </c>
      <c r="N79" s="5">
        <v>150</v>
      </c>
      <c r="O79" s="5" t="s">
        <v>19</v>
      </c>
      <c r="P79" s="6">
        <f>K14*(N79/100)</f>
        <v>2.815384615384616</v>
      </c>
      <c r="T79" t="s">
        <v>52</v>
      </c>
      <c r="U79" s="22">
        <f>U76/U77</f>
        <v>0.30357420357420362</v>
      </c>
    </row>
    <row r="80" spans="8:21" x14ac:dyDescent="0.3">
      <c r="M80" s="5" t="s">
        <v>161</v>
      </c>
      <c r="N80" s="5">
        <v>5</v>
      </c>
      <c r="O80" s="5" t="s">
        <v>19</v>
      </c>
      <c r="P80" s="6">
        <f>C$16/(1000/N80)</f>
        <v>0.27200000000000002</v>
      </c>
    </row>
    <row r="81" spans="8:21" x14ac:dyDescent="0.3">
      <c r="H81" s="13" t="s">
        <v>162</v>
      </c>
      <c r="I81" s="3"/>
      <c r="J81" s="3"/>
      <c r="K81" s="3"/>
      <c r="M81" s="5" t="s">
        <v>28</v>
      </c>
      <c r="N81" s="5">
        <v>1</v>
      </c>
      <c r="O81" s="5" t="s">
        <v>26</v>
      </c>
      <c r="P81" s="6">
        <f>C$57</f>
        <v>0.01</v>
      </c>
      <c r="R81" s="13" t="s">
        <v>163</v>
      </c>
      <c r="S81" s="13" t="s">
        <v>164</v>
      </c>
      <c r="T81" s="3"/>
      <c r="U81" s="3"/>
    </row>
    <row r="82" spans="8:21" x14ac:dyDescent="0.3">
      <c r="H82" s="4" t="s">
        <v>7</v>
      </c>
      <c r="I82" s="4" t="s">
        <v>12</v>
      </c>
      <c r="J82" s="4" t="s">
        <v>9</v>
      </c>
      <c r="K82" s="4" t="s">
        <v>8</v>
      </c>
      <c r="M82" s="5" t="s">
        <v>146</v>
      </c>
      <c r="N82" s="5">
        <v>1</v>
      </c>
      <c r="O82" s="5" t="s">
        <v>26</v>
      </c>
      <c r="P82" s="6">
        <f>C$58</f>
        <v>0.03</v>
      </c>
      <c r="R82" s="4" t="s">
        <v>7</v>
      </c>
      <c r="S82" s="4" t="s">
        <v>12</v>
      </c>
      <c r="T82" s="4" t="s">
        <v>9</v>
      </c>
      <c r="U82" s="4" t="s">
        <v>8</v>
      </c>
    </row>
    <row r="83" spans="8:21" x14ac:dyDescent="0.3">
      <c r="H83" s="48" t="s">
        <v>123</v>
      </c>
      <c r="I83" s="48">
        <v>1.5</v>
      </c>
      <c r="J83" s="48" t="s">
        <v>42</v>
      </c>
      <c r="K83" s="49">
        <f>C42*I83</f>
        <v>87.105000000000004</v>
      </c>
      <c r="O83" s="16" t="s">
        <v>39</v>
      </c>
      <c r="P83" s="19">
        <f>SUM(P79:P82)</f>
        <v>3.1273846153846159</v>
      </c>
      <c r="R83" s="5" t="s">
        <v>165</v>
      </c>
      <c r="S83" s="5">
        <v>100</v>
      </c>
      <c r="T83" s="5" t="s">
        <v>19</v>
      </c>
      <c r="U83" s="6">
        <f>P101</f>
        <v>0.22209999999999994</v>
      </c>
    </row>
    <row r="84" spans="8:21" x14ac:dyDescent="0.3">
      <c r="H84" s="48" t="s">
        <v>16</v>
      </c>
      <c r="I84" s="48">
        <v>10</v>
      </c>
      <c r="J84" s="48" t="s">
        <v>17</v>
      </c>
      <c r="K84" s="49">
        <f>C19*I84</f>
        <v>49.900000000000006</v>
      </c>
      <c r="O84" s="17" t="s">
        <v>45</v>
      </c>
      <c r="P84" s="21">
        <v>12.9</v>
      </c>
      <c r="R84" s="5" t="s">
        <v>166</v>
      </c>
      <c r="S84" s="5">
        <v>1</v>
      </c>
      <c r="T84" s="5" t="s">
        <v>26</v>
      </c>
      <c r="U84" s="6">
        <f>I129</f>
        <v>0</v>
      </c>
    </row>
    <row r="85" spans="8:21" x14ac:dyDescent="0.3">
      <c r="O85" s="18" t="s">
        <v>49</v>
      </c>
      <c r="P85" s="20">
        <f>P84-P83</f>
        <v>9.7726153846153849</v>
      </c>
      <c r="R85" s="5" t="s">
        <v>167</v>
      </c>
      <c r="S85" s="5">
        <v>1</v>
      </c>
      <c r="T85" s="5" t="s">
        <v>26</v>
      </c>
      <c r="U85" s="6">
        <f>I132</f>
        <v>0</v>
      </c>
    </row>
    <row r="86" spans="8:21" x14ac:dyDescent="0.3">
      <c r="O86" t="s">
        <v>52</v>
      </c>
      <c r="P86" s="22">
        <f>P83/P84</f>
        <v>0.24243291592128804</v>
      </c>
      <c r="R86" s="5"/>
      <c r="S86" s="5">
        <v>1</v>
      </c>
      <c r="T86" s="5" t="s">
        <v>26</v>
      </c>
      <c r="U86" s="6">
        <v>0.19</v>
      </c>
    </row>
    <row r="87" spans="8:21" x14ac:dyDescent="0.3">
      <c r="T87" s="16" t="s">
        <v>39</v>
      </c>
      <c r="U87" s="19">
        <f>SUM(U83:U86)</f>
        <v>0.41209999999999991</v>
      </c>
    </row>
    <row r="88" spans="8:21" x14ac:dyDescent="0.3">
      <c r="M88" s="13" t="s">
        <v>168</v>
      </c>
      <c r="N88" s="3"/>
      <c r="O88" s="3"/>
      <c r="P88" s="3"/>
      <c r="T88" s="17" t="s">
        <v>45</v>
      </c>
      <c r="U88" s="21">
        <v>9.9</v>
      </c>
    </row>
    <row r="89" spans="8:21" x14ac:dyDescent="0.3">
      <c r="M89" s="4" t="s">
        <v>7</v>
      </c>
      <c r="N89" s="4" t="s">
        <v>12</v>
      </c>
      <c r="O89" s="4" t="s">
        <v>9</v>
      </c>
      <c r="P89" s="4" t="s">
        <v>8</v>
      </c>
      <c r="T89" s="18" t="s">
        <v>49</v>
      </c>
      <c r="U89" s="20">
        <f>U88-U87</f>
        <v>9.4878999999999998</v>
      </c>
    </row>
    <row r="90" spans="8:21" x14ac:dyDescent="0.3">
      <c r="M90" s="5" t="s">
        <v>169</v>
      </c>
      <c r="N90" s="5">
        <v>150</v>
      </c>
      <c r="O90" s="5" t="s">
        <v>19</v>
      </c>
      <c r="P90" s="6">
        <f>K14*(N90/100)</f>
        <v>2.815384615384616</v>
      </c>
      <c r="T90" t="s">
        <v>52</v>
      </c>
      <c r="U90" s="22">
        <f>U87/U88</f>
        <v>4.1626262626262615E-2</v>
      </c>
    </row>
    <row r="91" spans="8:21" x14ac:dyDescent="0.3">
      <c r="M91" s="5" t="s">
        <v>161</v>
      </c>
      <c r="N91" s="5">
        <v>5</v>
      </c>
      <c r="O91" s="5" t="s">
        <v>19</v>
      </c>
      <c r="P91" s="6">
        <f>C$16/(1000/N91)</f>
        <v>0.27200000000000002</v>
      </c>
    </row>
    <row r="92" spans="8:21" x14ac:dyDescent="0.3">
      <c r="M92" s="5" t="s">
        <v>28</v>
      </c>
      <c r="N92" s="5">
        <v>1</v>
      </c>
      <c r="O92" s="5" t="s">
        <v>26</v>
      </c>
      <c r="P92" s="6">
        <f>C$57</f>
        <v>0.01</v>
      </c>
      <c r="R92" s="13" t="s">
        <v>137</v>
      </c>
      <c r="S92" s="3"/>
      <c r="T92" s="3"/>
      <c r="U92" s="3"/>
    </row>
    <row r="93" spans="8:21" x14ac:dyDescent="0.3">
      <c r="M93" s="5" t="s">
        <v>146</v>
      </c>
      <c r="N93" s="5">
        <v>1</v>
      </c>
      <c r="O93" s="5" t="s">
        <v>26</v>
      </c>
      <c r="P93" s="6">
        <f>C$58</f>
        <v>0.03</v>
      </c>
      <c r="R93" s="4" t="s">
        <v>7</v>
      </c>
      <c r="S93" s="4" t="s">
        <v>12</v>
      </c>
      <c r="T93" s="4"/>
      <c r="U93" s="4"/>
    </row>
    <row r="94" spans="8:21" x14ac:dyDescent="0.3">
      <c r="O94" s="16" t="s">
        <v>39</v>
      </c>
      <c r="P94" s="19">
        <f>SUM(P90:P93)</f>
        <v>3.1273846153846159</v>
      </c>
      <c r="R94" s="5" t="s">
        <v>37</v>
      </c>
      <c r="S94" s="5">
        <v>250</v>
      </c>
      <c r="T94" s="5" t="s">
        <v>119</v>
      </c>
      <c r="U94" s="6">
        <v>1.75</v>
      </c>
    </row>
    <row r="95" spans="8:21" x14ac:dyDescent="0.3">
      <c r="O95" s="17" t="s">
        <v>45</v>
      </c>
      <c r="P95" s="21">
        <v>12.9</v>
      </c>
      <c r="R95" s="5" t="s">
        <v>74</v>
      </c>
      <c r="S95" s="5">
        <v>60</v>
      </c>
      <c r="T95" s="5" t="s">
        <v>19</v>
      </c>
      <c r="U95" s="6">
        <v>3.4067999999999996</v>
      </c>
    </row>
    <row r="96" spans="8:21" x14ac:dyDescent="0.3">
      <c r="O96" s="18" t="s">
        <v>49</v>
      </c>
      <c r="P96" s="20">
        <f>P95-P94</f>
        <v>9.7726153846153849</v>
      </c>
      <c r="R96" s="5" t="s">
        <v>141</v>
      </c>
      <c r="S96" s="5">
        <v>60</v>
      </c>
      <c r="T96" s="5" t="s">
        <v>19</v>
      </c>
      <c r="U96" s="6">
        <v>5.4959999999999996</v>
      </c>
    </row>
    <row r="97" spans="13:21" x14ac:dyDescent="0.3">
      <c r="O97" t="s">
        <v>52</v>
      </c>
      <c r="P97" s="22">
        <f>P94/P95</f>
        <v>0.24243291592128804</v>
      </c>
      <c r="R97" s="5" t="s">
        <v>60</v>
      </c>
      <c r="S97" s="5">
        <v>15</v>
      </c>
      <c r="T97" s="5" t="s">
        <v>119</v>
      </c>
      <c r="U97" s="6">
        <v>0.22499999999999998</v>
      </c>
    </row>
    <row r="98" spans="13:21" x14ac:dyDescent="0.3">
      <c r="R98" s="5" t="s">
        <v>78</v>
      </c>
      <c r="S98" s="5">
        <v>20</v>
      </c>
      <c r="T98" s="5" t="s">
        <v>19</v>
      </c>
      <c r="U98" s="6">
        <v>0.51400000000000001</v>
      </c>
    </row>
    <row r="99" spans="13:21" x14ac:dyDescent="0.3">
      <c r="M99" s="13" t="s">
        <v>170</v>
      </c>
      <c r="N99" s="3"/>
      <c r="O99" s="3"/>
      <c r="P99" s="3"/>
      <c r="R99" s="5" t="s">
        <v>46</v>
      </c>
      <c r="S99" s="5">
        <v>5</v>
      </c>
      <c r="T99" s="5" t="s">
        <v>19</v>
      </c>
      <c r="U99" s="6">
        <v>0.56999999999999995</v>
      </c>
    </row>
    <row r="100" spans="13:21" x14ac:dyDescent="0.3">
      <c r="M100" s="4" t="s">
        <v>7</v>
      </c>
      <c r="N100" s="4" t="s">
        <v>12</v>
      </c>
      <c r="O100" s="4" t="s">
        <v>9</v>
      </c>
      <c r="P100" s="4" t="s">
        <v>8</v>
      </c>
      <c r="R100" s="5" t="s">
        <v>148</v>
      </c>
      <c r="S100" s="5">
        <v>12</v>
      </c>
      <c r="T100" s="5" t="s">
        <v>19</v>
      </c>
      <c r="U100" s="6">
        <v>0.33360000000000001</v>
      </c>
    </row>
    <row r="101" spans="13:21" x14ac:dyDescent="0.3">
      <c r="M101" s="5" t="s">
        <v>113</v>
      </c>
      <c r="N101" s="5">
        <v>0.3</v>
      </c>
      <c r="O101" s="5" t="s">
        <v>106</v>
      </c>
      <c r="P101" s="6">
        <f>C29*0.3</f>
        <v>0.22209999999999994</v>
      </c>
      <c r="R101" s="5" t="s">
        <v>149</v>
      </c>
      <c r="S101" s="5">
        <v>10</v>
      </c>
      <c r="T101" s="5" t="s">
        <v>19</v>
      </c>
      <c r="U101" s="6">
        <v>0.49249999999999999</v>
      </c>
    </row>
    <row r="102" spans="13:21" x14ac:dyDescent="0.3">
      <c r="M102" s="5" t="str">
        <f>B27</f>
        <v>Gelo</v>
      </c>
      <c r="N102" s="5">
        <v>0.15</v>
      </c>
      <c r="O102" s="5" t="s">
        <v>22</v>
      </c>
      <c r="P102" s="6">
        <f>C27*N102</f>
        <v>0.27</v>
      </c>
      <c r="T102" s="16" t="s">
        <v>39</v>
      </c>
      <c r="U102" s="19">
        <f>SUM(U94:U99)</f>
        <v>11.961799999999998</v>
      </c>
    </row>
    <row r="103" spans="13:21" x14ac:dyDescent="0.3">
      <c r="M103" s="5" t="str">
        <f>B26</f>
        <v>Xarope Artificial Baldo</v>
      </c>
      <c r="N103" s="5">
        <v>0.03</v>
      </c>
      <c r="O103" s="5" t="s">
        <v>106</v>
      </c>
      <c r="P103" s="6">
        <f>C26*N103</f>
        <v>0.95</v>
      </c>
      <c r="T103" s="17" t="s">
        <v>45</v>
      </c>
      <c r="U103" s="21">
        <v>32.9</v>
      </c>
    </row>
    <row r="104" spans="13:21" x14ac:dyDescent="0.3">
      <c r="M104" s="5" t="s">
        <v>144</v>
      </c>
      <c r="N104" s="5">
        <v>1</v>
      </c>
      <c r="O104" s="5" t="s">
        <v>140</v>
      </c>
      <c r="P104" s="6">
        <f>C56</f>
        <v>0.72</v>
      </c>
      <c r="T104" s="18" t="s">
        <v>76</v>
      </c>
      <c r="U104" s="20">
        <f>U103-U102</f>
        <v>20.938200000000002</v>
      </c>
    </row>
    <row r="105" spans="13:21" x14ac:dyDescent="0.3">
      <c r="O105" s="16" t="s">
        <v>39</v>
      </c>
      <c r="P105" s="19">
        <f>SUM(P101:P104)</f>
        <v>2.1620999999999997</v>
      </c>
      <c r="T105" t="s">
        <v>52</v>
      </c>
      <c r="U105" s="22">
        <f>U102/U103</f>
        <v>0.36358054711246196</v>
      </c>
    </row>
    <row r="106" spans="13:21" x14ac:dyDescent="0.3">
      <c r="O106" s="17" t="s">
        <v>45</v>
      </c>
      <c r="P106" s="21">
        <v>8</v>
      </c>
    </row>
    <row r="107" spans="13:21" x14ac:dyDescent="0.3">
      <c r="O107" s="18" t="s">
        <v>49</v>
      </c>
      <c r="P107" s="20">
        <f>P106-P105</f>
        <v>5.8379000000000003</v>
      </c>
      <c r="R107" s="13" t="s">
        <v>171</v>
      </c>
      <c r="S107" s="3"/>
      <c r="T107" s="3"/>
      <c r="U107" s="3"/>
    </row>
    <row r="108" spans="13:21" x14ac:dyDescent="0.3">
      <c r="O108" s="24" t="s">
        <v>52</v>
      </c>
      <c r="P108" s="25">
        <f>P105/P106</f>
        <v>0.27026249999999996</v>
      </c>
      <c r="R108" s="4" t="s">
        <v>7</v>
      </c>
      <c r="S108" s="4" t="s">
        <v>12</v>
      </c>
      <c r="T108" s="4" t="s">
        <v>9</v>
      </c>
      <c r="U108" s="4" t="s">
        <v>8</v>
      </c>
    </row>
    <row r="109" spans="13:21" x14ac:dyDescent="0.3">
      <c r="R109" s="5" t="s">
        <v>94</v>
      </c>
      <c r="S109" s="5">
        <v>0.35</v>
      </c>
      <c r="T109" s="5" t="s">
        <v>17</v>
      </c>
      <c r="U109" s="6">
        <v>2.6949999999999998</v>
      </c>
    </row>
    <row r="110" spans="13:21" x14ac:dyDescent="0.3">
      <c r="R110" s="5" t="s">
        <v>41</v>
      </c>
      <c r="S110" s="5">
        <v>50</v>
      </c>
      <c r="T110" s="5" t="s">
        <v>19</v>
      </c>
      <c r="U110" s="6">
        <v>1.8350000000000002</v>
      </c>
    </row>
    <row r="111" spans="13:21" x14ac:dyDescent="0.3">
      <c r="R111" s="5" t="s">
        <v>46</v>
      </c>
      <c r="S111" s="5">
        <v>10</v>
      </c>
      <c r="T111" s="5" t="s">
        <v>19</v>
      </c>
      <c r="U111" s="6">
        <v>1.1399999999999999</v>
      </c>
    </row>
    <row r="112" spans="13:21" x14ac:dyDescent="0.3">
      <c r="R112" s="5" t="s">
        <v>50</v>
      </c>
      <c r="S112" s="5">
        <v>5</v>
      </c>
      <c r="T112" s="5" t="s">
        <v>19</v>
      </c>
      <c r="U112" s="6">
        <v>7.4999999999999997E-2</v>
      </c>
    </row>
    <row r="113" spans="18:21" x14ac:dyDescent="0.3">
      <c r="R113" s="5" t="s">
        <v>102</v>
      </c>
      <c r="S113" s="5">
        <v>10</v>
      </c>
      <c r="T113" s="5" t="s">
        <v>19</v>
      </c>
      <c r="U113" s="6">
        <v>0.54400000000000004</v>
      </c>
    </row>
    <row r="114" spans="18:21" x14ac:dyDescent="0.3">
      <c r="R114" s="5" t="s">
        <v>172</v>
      </c>
      <c r="S114" s="5">
        <v>20</v>
      </c>
      <c r="T114" s="5" t="s">
        <v>119</v>
      </c>
      <c r="U114" s="6">
        <v>1.54</v>
      </c>
    </row>
    <row r="115" spans="18:21" x14ac:dyDescent="0.3">
      <c r="T115" s="16" t="s">
        <v>39</v>
      </c>
      <c r="U115" s="19">
        <f>SUM(U109:U114)</f>
        <v>7.8289999999999997</v>
      </c>
    </row>
    <row r="116" spans="18:21" x14ac:dyDescent="0.3">
      <c r="T116" s="17" t="s">
        <v>45</v>
      </c>
      <c r="U116" s="21">
        <v>25.9</v>
      </c>
    </row>
    <row r="117" spans="18:21" x14ac:dyDescent="0.3">
      <c r="T117" s="18" t="s">
        <v>76</v>
      </c>
      <c r="U117" s="20">
        <f>U116-U115</f>
        <v>18.070999999999998</v>
      </c>
    </row>
    <row r="118" spans="18:21" x14ac:dyDescent="0.3">
      <c r="T118" t="s">
        <v>52</v>
      </c>
      <c r="U118" s="22">
        <f>U115/U116</f>
        <v>0.30227799227799229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691EC-5FE6-4BD6-BB9D-EC8B3754C23E}">
  <dimension ref="B2:AD45"/>
  <sheetViews>
    <sheetView tabSelected="1" topLeftCell="N3" workbookViewId="0">
      <selection activeCell="T21" sqref="T21"/>
    </sheetView>
  </sheetViews>
  <sheetFormatPr defaultRowHeight="14.4" x14ac:dyDescent="0.3"/>
  <cols>
    <col min="1" max="1" width="2.6640625" customWidth="1"/>
    <col min="2" max="2" width="35.44140625" bestFit="1" customWidth="1"/>
    <col min="3" max="3" width="10.44140625" bestFit="1" customWidth="1"/>
    <col min="4" max="4" width="7.109375" bestFit="1" customWidth="1"/>
    <col min="5" max="5" width="11.33203125" bestFit="1" customWidth="1"/>
    <col min="7" max="7" width="35.44140625" bestFit="1" customWidth="1"/>
    <col min="8" max="8" width="10.44140625" bestFit="1" customWidth="1"/>
    <col min="9" max="9" width="7.109375" bestFit="1" customWidth="1"/>
    <col min="10" max="10" width="11.33203125" bestFit="1" customWidth="1"/>
    <col min="12" max="12" width="20" customWidth="1"/>
    <col min="14" max="14" width="11.109375" bestFit="1" customWidth="1"/>
    <col min="15" max="15" width="11.33203125" bestFit="1" customWidth="1"/>
    <col min="17" max="17" width="17.88671875" bestFit="1" customWidth="1"/>
    <col min="18" max="18" width="10.109375" bestFit="1" customWidth="1"/>
    <col min="19" max="19" width="12.21875" bestFit="1" customWidth="1"/>
    <col min="20" max="20" width="14" bestFit="1" customWidth="1"/>
    <col min="21" max="21" width="2.21875" customWidth="1"/>
    <col min="22" max="22" width="17.88671875" bestFit="1" customWidth="1"/>
    <col min="23" max="23" width="10.6640625" bestFit="1" customWidth="1"/>
    <col min="25" max="25" width="14" bestFit="1" customWidth="1"/>
    <col min="26" max="26" width="2.33203125" customWidth="1"/>
    <col min="27" max="27" width="17.88671875" bestFit="1" customWidth="1"/>
    <col min="30" max="30" width="14" bestFit="1" customWidth="1"/>
  </cols>
  <sheetData>
    <row r="2" spans="2:30" ht="15" thickBot="1" x14ac:dyDescent="0.35"/>
    <row r="3" spans="2:30" x14ac:dyDescent="0.3">
      <c r="B3" s="34" t="s">
        <v>173</v>
      </c>
      <c r="C3" s="35"/>
      <c r="D3" s="35"/>
      <c r="E3" s="36"/>
      <c r="G3" s="34" t="s">
        <v>199</v>
      </c>
      <c r="H3" s="35"/>
      <c r="I3" s="35"/>
      <c r="J3" s="36"/>
      <c r="L3" s="27" t="s">
        <v>187</v>
      </c>
      <c r="M3" s="28"/>
      <c r="N3" s="28"/>
      <c r="O3" s="28"/>
      <c r="Q3" s="48" t="s">
        <v>181</v>
      </c>
      <c r="V3" s="48" t="s">
        <v>192</v>
      </c>
      <c r="AA3" s="48" t="s">
        <v>193</v>
      </c>
    </row>
    <row r="4" spans="2:30" ht="15" thickBot="1" x14ac:dyDescent="0.35">
      <c r="B4" s="37" t="s">
        <v>7</v>
      </c>
      <c r="C4" s="4" t="s">
        <v>12</v>
      </c>
      <c r="D4" s="4" t="s">
        <v>9</v>
      </c>
      <c r="E4" s="38" t="s">
        <v>8</v>
      </c>
      <c r="G4" s="37" t="s">
        <v>7</v>
      </c>
      <c r="H4" s="4" t="s">
        <v>12</v>
      </c>
      <c r="I4" s="4" t="s">
        <v>9</v>
      </c>
      <c r="J4" s="38" t="s">
        <v>8</v>
      </c>
      <c r="L4" s="29" t="s">
        <v>7</v>
      </c>
      <c r="M4" s="29" t="s">
        <v>12</v>
      </c>
      <c r="N4" s="29" t="s">
        <v>9</v>
      </c>
      <c r="O4" s="29" t="s">
        <v>8</v>
      </c>
    </row>
    <row r="5" spans="2:30" ht="15" thickBot="1" x14ac:dyDescent="0.35">
      <c r="B5" s="57" t="s">
        <v>174</v>
      </c>
      <c r="C5" s="48">
        <v>1.5</v>
      </c>
      <c r="D5" s="48" t="s">
        <v>42</v>
      </c>
      <c r="E5" s="58">
        <v>87.105000000000004</v>
      </c>
      <c r="G5" s="57" t="s">
        <v>175</v>
      </c>
      <c r="H5" s="48">
        <v>1.5</v>
      </c>
      <c r="I5" s="48" t="s">
        <v>42</v>
      </c>
      <c r="J5" s="58">
        <v>87.105000000000004</v>
      </c>
      <c r="L5" s="30" t="s">
        <v>18</v>
      </c>
      <c r="M5" s="30">
        <v>150</v>
      </c>
      <c r="N5" s="30" t="s">
        <v>19</v>
      </c>
      <c r="O5" s="31">
        <v>2.85</v>
      </c>
      <c r="Q5" s="59" t="s">
        <v>7</v>
      </c>
      <c r="R5" s="60" t="s">
        <v>182</v>
      </c>
      <c r="S5" s="60" t="s">
        <v>183</v>
      </c>
      <c r="T5" s="61" t="s">
        <v>184</v>
      </c>
      <c r="V5" s="59" t="s">
        <v>7</v>
      </c>
      <c r="W5" s="60" t="s">
        <v>182</v>
      </c>
      <c r="X5" s="60" t="s">
        <v>183</v>
      </c>
      <c r="Y5" s="61" t="s">
        <v>184</v>
      </c>
      <c r="AA5" s="59" t="s">
        <v>7</v>
      </c>
      <c r="AB5" s="60" t="s">
        <v>182</v>
      </c>
      <c r="AC5" s="60" t="s">
        <v>183</v>
      </c>
      <c r="AD5" s="61" t="s">
        <v>184</v>
      </c>
    </row>
    <row r="6" spans="2:30" x14ac:dyDescent="0.3">
      <c r="B6" s="57" t="s">
        <v>16</v>
      </c>
      <c r="C6" s="48">
        <v>10</v>
      </c>
      <c r="D6" s="48" t="s">
        <v>17</v>
      </c>
      <c r="E6" s="58">
        <v>49.900000000000006</v>
      </c>
      <c r="G6" s="57" t="s">
        <v>16</v>
      </c>
      <c r="H6" s="48">
        <v>10</v>
      </c>
      <c r="I6" s="48" t="s">
        <v>17</v>
      </c>
      <c r="J6" s="58">
        <v>49.900000000000006</v>
      </c>
      <c r="L6" s="30" t="s">
        <v>180</v>
      </c>
      <c r="M6" s="30">
        <v>150</v>
      </c>
      <c r="N6" s="30" t="s">
        <v>119</v>
      </c>
      <c r="O6" s="31">
        <v>0.2</v>
      </c>
      <c r="Q6" s="62" t="s">
        <v>157</v>
      </c>
      <c r="R6" s="63">
        <v>20</v>
      </c>
      <c r="S6" s="64">
        <v>9.0500000000000007</v>
      </c>
      <c r="T6" s="65">
        <f>S6*R6</f>
        <v>181</v>
      </c>
      <c r="V6" s="62" t="s">
        <v>157</v>
      </c>
      <c r="W6" s="63">
        <v>45</v>
      </c>
      <c r="X6" s="64">
        <v>9.0500000000000007</v>
      </c>
      <c r="Y6" s="65">
        <f>X6*W6</f>
        <v>407.25000000000006</v>
      </c>
      <c r="AA6" s="62" t="s">
        <v>157</v>
      </c>
      <c r="AB6" s="63">
        <v>80</v>
      </c>
      <c r="AC6" s="64">
        <v>9.0500000000000007</v>
      </c>
      <c r="AD6" s="65">
        <f>AC6*AB6</f>
        <v>724</v>
      </c>
    </row>
    <row r="7" spans="2:30" x14ac:dyDescent="0.3">
      <c r="B7" s="57" t="s">
        <v>176</v>
      </c>
      <c r="C7" s="48">
        <v>0.23</v>
      </c>
      <c r="D7" s="48" t="s">
        <v>42</v>
      </c>
      <c r="E7" s="58">
        <v>12.42</v>
      </c>
      <c r="G7" s="57" t="s">
        <v>177</v>
      </c>
      <c r="H7" s="48">
        <v>0.57499999999999996</v>
      </c>
      <c r="I7" s="48" t="s">
        <v>42</v>
      </c>
      <c r="J7" s="58">
        <v>50.47</v>
      </c>
      <c r="L7" s="30" t="s">
        <v>28</v>
      </c>
      <c r="M7" s="30">
        <v>1</v>
      </c>
      <c r="N7" s="30" t="s">
        <v>26</v>
      </c>
      <c r="O7" s="31">
        <v>0.01</v>
      </c>
      <c r="Q7" s="66" t="s">
        <v>185</v>
      </c>
      <c r="R7" s="67">
        <v>35</v>
      </c>
      <c r="S7" s="68">
        <v>9.8000000000000007</v>
      </c>
      <c r="T7" s="69">
        <f t="shared" ref="T7:T9" si="0">S7*R7</f>
        <v>343</v>
      </c>
      <c r="V7" s="66" t="s">
        <v>185</v>
      </c>
      <c r="W7" s="67">
        <v>70</v>
      </c>
      <c r="X7" s="68">
        <v>9.8000000000000007</v>
      </c>
      <c r="Y7" s="69">
        <f t="shared" ref="Y7:Y9" si="1">X7*W7</f>
        <v>686</v>
      </c>
      <c r="AA7" s="66" t="s">
        <v>185</v>
      </c>
      <c r="AB7" s="67">
        <v>100</v>
      </c>
      <c r="AC7" s="68">
        <v>9.8000000000000007</v>
      </c>
      <c r="AD7" s="69">
        <f t="shared" ref="AD7:AD9" si="2">AC7*AB7</f>
        <v>980.00000000000011</v>
      </c>
    </row>
    <row r="8" spans="2:30" x14ac:dyDescent="0.3">
      <c r="B8" s="41" t="s">
        <v>33</v>
      </c>
      <c r="C8" s="8">
        <v>30</v>
      </c>
      <c r="D8" s="9" t="s">
        <v>34</v>
      </c>
      <c r="E8" s="40">
        <v>0</v>
      </c>
      <c r="G8" s="41" t="s">
        <v>33</v>
      </c>
      <c r="H8" s="8">
        <v>30</v>
      </c>
      <c r="I8" s="9" t="s">
        <v>34</v>
      </c>
      <c r="J8" s="40">
        <v>0</v>
      </c>
      <c r="L8" s="30" t="s">
        <v>146</v>
      </c>
      <c r="M8" s="30">
        <v>1</v>
      </c>
      <c r="N8" s="30" t="s">
        <v>26</v>
      </c>
      <c r="O8" s="31">
        <v>0.03</v>
      </c>
      <c r="Q8" s="66" t="s">
        <v>169</v>
      </c>
      <c r="R8" s="67">
        <v>35</v>
      </c>
      <c r="S8" s="68">
        <v>9.7899999999999991</v>
      </c>
      <c r="T8" s="69">
        <f t="shared" si="0"/>
        <v>342.65</v>
      </c>
      <c r="V8" s="66" t="s">
        <v>169</v>
      </c>
      <c r="W8" s="67">
        <v>70</v>
      </c>
      <c r="X8" s="68">
        <v>9.7899999999999991</v>
      </c>
      <c r="Y8" s="69">
        <f t="shared" si="1"/>
        <v>685.3</v>
      </c>
      <c r="AA8" s="66" t="s">
        <v>169</v>
      </c>
      <c r="AB8" s="67">
        <v>100</v>
      </c>
      <c r="AC8" s="68">
        <v>9.7899999999999991</v>
      </c>
      <c r="AD8" s="69">
        <f t="shared" si="2"/>
        <v>978.99999999999989</v>
      </c>
    </row>
    <row r="9" spans="2:30" ht="15" thickBot="1" x14ac:dyDescent="0.35">
      <c r="B9" s="42"/>
      <c r="C9" s="1"/>
      <c r="D9" s="1"/>
      <c r="E9" s="54"/>
      <c r="G9" s="42"/>
      <c r="H9" s="1"/>
      <c r="I9" s="1"/>
      <c r="J9" s="54"/>
      <c r="N9" s="32" t="s">
        <v>39</v>
      </c>
      <c r="O9" s="33">
        <f>SUM(O5:O8)</f>
        <v>3.09</v>
      </c>
      <c r="Q9" s="70" t="s">
        <v>186</v>
      </c>
      <c r="R9" s="71">
        <v>10</v>
      </c>
      <c r="S9" s="72">
        <v>9.81</v>
      </c>
      <c r="T9" s="73">
        <f t="shared" si="0"/>
        <v>98.100000000000009</v>
      </c>
      <c r="V9" s="70" t="s">
        <v>186</v>
      </c>
      <c r="W9" s="71">
        <v>25</v>
      </c>
      <c r="X9" s="72">
        <v>9.81</v>
      </c>
      <c r="Y9" s="73">
        <f t="shared" si="1"/>
        <v>245.25</v>
      </c>
      <c r="AA9" s="70" t="s">
        <v>186</v>
      </c>
      <c r="AB9" s="71">
        <v>40</v>
      </c>
      <c r="AC9" s="72">
        <v>9.81</v>
      </c>
      <c r="AD9" s="73">
        <f t="shared" si="2"/>
        <v>392.40000000000003</v>
      </c>
    </row>
    <row r="10" spans="2:30" x14ac:dyDescent="0.3">
      <c r="B10" s="37" t="s">
        <v>44</v>
      </c>
      <c r="C10" s="10">
        <f>SUM(C5:C7)*1.3</f>
        <v>15.249000000000001</v>
      </c>
      <c r="D10" s="11" t="s">
        <v>17</v>
      </c>
      <c r="E10" s="44">
        <f>SUM(E5:E8)</f>
        <v>149.42499999999998</v>
      </c>
      <c r="G10" s="37" t="s">
        <v>44</v>
      </c>
      <c r="H10" s="10">
        <f>SUM(H5:H7)*1.3</f>
        <v>15.6975</v>
      </c>
      <c r="I10" s="11" t="s">
        <v>17</v>
      </c>
      <c r="J10" s="44">
        <f>SUM(J5:J8)</f>
        <v>187.47499999999999</v>
      </c>
      <c r="N10" s="17" t="s">
        <v>45</v>
      </c>
      <c r="O10" s="21">
        <v>12.9</v>
      </c>
    </row>
    <row r="11" spans="2:30" ht="15" thickBot="1" x14ac:dyDescent="0.35">
      <c r="B11" s="45" t="s">
        <v>48</v>
      </c>
      <c r="C11" s="46">
        <v>0.15</v>
      </c>
      <c r="D11" s="46" t="s">
        <v>17</v>
      </c>
      <c r="E11" s="47">
        <f>(E10/78)*1.5</f>
        <v>2.873557692307692</v>
      </c>
      <c r="G11" s="45" t="s">
        <v>48</v>
      </c>
      <c r="H11" s="46">
        <v>0.15</v>
      </c>
      <c r="I11" s="46" t="s">
        <v>17</v>
      </c>
      <c r="J11" s="47">
        <f>(J10/78)*1.5</f>
        <v>3.6052884615384615</v>
      </c>
      <c r="N11" s="18" t="s">
        <v>49</v>
      </c>
      <c r="O11" s="20">
        <f>O10-O9</f>
        <v>9.81</v>
      </c>
      <c r="Q11" s="74" t="s">
        <v>195</v>
      </c>
      <c r="R11" s="75">
        <f>SUM(R6:R9)</f>
        <v>100</v>
      </c>
      <c r="S11" s="76" t="s">
        <v>194</v>
      </c>
      <c r="T11" s="77">
        <f>SUM(T6:T9)</f>
        <v>964.75</v>
      </c>
      <c r="V11" s="74" t="s">
        <v>191</v>
      </c>
      <c r="W11" s="80">
        <f>SUM(W6:W9)</f>
        <v>210</v>
      </c>
      <c r="X11" s="81" t="s">
        <v>194</v>
      </c>
      <c r="Y11" s="77">
        <f>SUM(Y6:Y9)</f>
        <v>2023.8</v>
      </c>
      <c r="AA11" s="74" t="s">
        <v>195</v>
      </c>
      <c r="AB11" s="75">
        <f>SUM(AB6:AB9)</f>
        <v>320</v>
      </c>
      <c r="AC11" s="75" t="s">
        <v>194</v>
      </c>
      <c r="AD11" s="77">
        <f>SUM(AD6:AD9)</f>
        <v>3075.4</v>
      </c>
    </row>
    <row r="12" spans="2:30" ht="15" thickBot="1" x14ac:dyDescent="0.35">
      <c r="N12" t="s">
        <v>52</v>
      </c>
      <c r="O12" s="22">
        <f>O9/O10</f>
        <v>0.23953488372093021</v>
      </c>
      <c r="Q12" s="74" t="s">
        <v>196</v>
      </c>
      <c r="R12" s="75">
        <f>R11*26</f>
        <v>2600</v>
      </c>
      <c r="S12" s="78" t="s">
        <v>194</v>
      </c>
      <c r="T12" s="79">
        <f>T11*26</f>
        <v>25083.5</v>
      </c>
      <c r="V12" s="74" t="s">
        <v>196</v>
      </c>
      <c r="W12" s="75">
        <f>W11*26</f>
        <v>5460</v>
      </c>
      <c r="X12" s="75" t="s">
        <v>194</v>
      </c>
      <c r="Y12" s="79">
        <f>Y11*26</f>
        <v>52618.799999999996</v>
      </c>
      <c r="AA12" s="74" t="s">
        <v>196</v>
      </c>
      <c r="AB12" s="75">
        <f>AB11*26</f>
        <v>8320</v>
      </c>
      <c r="AC12" s="75" t="s">
        <v>194</v>
      </c>
      <c r="AD12" s="79">
        <f>AD11*26</f>
        <v>79960.400000000009</v>
      </c>
    </row>
    <row r="13" spans="2:30" x14ac:dyDescent="0.3">
      <c r="B13" s="34" t="s">
        <v>198</v>
      </c>
      <c r="C13" s="35"/>
      <c r="D13" s="35"/>
      <c r="E13" s="36"/>
      <c r="G13" s="34" t="s">
        <v>200</v>
      </c>
      <c r="H13" s="35"/>
      <c r="I13" s="35"/>
      <c r="J13" s="36"/>
      <c r="Q13" s="74" t="s">
        <v>197</v>
      </c>
      <c r="R13" s="78">
        <f>R12*12</f>
        <v>31200</v>
      </c>
      <c r="S13" s="75" t="s">
        <v>194</v>
      </c>
      <c r="T13" s="79">
        <f>T12*12</f>
        <v>301002</v>
      </c>
      <c r="V13" s="74" t="s">
        <v>197</v>
      </c>
      <c r="W13" s="78">
        <f>W12*12</f>
        <v>65520</v>
      </c>
      <c r="X13" s="75" t="s">
        <v>194</v>
      </c>
      <c r="Y13" s="79">
        <f>Y12*12</f>
        <v>631425.6</v>
      </c>
      <c r="AA13" s="74" t="s">
        <v>197</v>
      </c>
      <c r="AB13" s="78">
        <f>AB12*12</f>
        <v>99840</v>
      </c>
      <c r="AC13" s="75" t="s">
        <v>194</v>
      </c>
      <c r="AD13" s="79">
        <f>AD12*12</f>
        <v>959524.8</v>
      </c>
    </row>
    <row r="14" spans="2:30" x14ac:dyDescent="0.3">
      <c r="B14" s="37" t="s">
        <v>7</v>
      </c>
      <c r="C14" s="4" t="s">
        <v>12</v>
      </c>
      <c r="D14" s="4" t="s">
        <v>9</v>
      </c>
      <c r="E14" s="38" t="s">
        <v>8</v>
      </c>
      <c r="G14" s="37" t="s">
        <v>7</v>
      </c>
      <c r="H14" s="4" t="s">
        <v>12</v>
      </c>
      <c r="I14" s="4" t="s">
        <v>9</v>
      </c>
      <c r="J14" s="38" t="s">
        <v>8</v>
      </c>
      <c r="L14" s="27" t="s">
        <v>188</v>
      </c>
      <c r="M14" s="28"/>
      <c r="N14" s="28"/>
      <c r="O14" s="28"/>
    </row>
    <row r="15" spans="2:30" x14ac:dyDescent="0.3">
      <c r="B15" s="57" t="s">
        <v>174</v>
      </c>
      <c r="C15" s="48">
        <v>1.5</v>
      </c>
      <c r="D15" s="48" t="s">
        <v>42</v>
      </c>
      <c r="E15" s="58">
        <v>87.105000000000004</v>
      </c>
      <c r="G15" s="57" t="s">
        <v>174</v>
      </c>
      <c r="H15" s="48">
        <v>1.5</v>
      </c>
      <c r="I15" s="48" t="s">
        <v>42</v>
      </c>
      <c r="J15" s="58">
        <v>87.105000000000004</v>
      </c>
      <c r="L15" s="29" t="s">
        <v>7</v>
      </c>
      <c r="M15" s="29" t="s">
        <v>12</v>
      </c>
      <c r="N15" s="29" t="s">
        <v>9</v>
      </c>
      <c r="O15" s="29" t="s">
        <v>8</v>
      </c>
    </row>
    <row r="16" spans="2:30" x14ac:dyDescent="0.3">
      <c r="B16" s="57" t="s">
        <v>16</v>
      </c>
      <c r="C16" s="48">
        <v>10</v>
      </c>
      <c r="D16" s="48" t="s">
        <v>17</v>
      </c>
      <c r="E16" s="58">
        <v>49.900000000000006</v>
      </c>
      <c r="G16" s="57" t="s">
        <v>16</v>
      </c>
      <c r="H16" s="48">
        <v>10</v>
      </c>
      <c r="I16" s="48" t="s">
        <v>17</v>
      </c>
      <c r="J16" s="58">
        <v>49.900000000000006</v>
      </c>
      <c r="L16" s="30" t="s">
        <v>18</v>
      </c>
      <c r="M16" s="30">
        <v>150</v>
      </c>
      <c r="N16" s="30" t="s">
        <v>19</v>
      </c>
      <c r="O16" s="31">
        <v>2.86</v>
      </c>
    </row>
    <row r="17" spans="2:19" x14ac:dyDescent="0.3">
      <c r="B17" s="57" t="s">
        <v>178</v>
      </c>
      <c r="C17" s="48">
        <v>0.23</v>
      </c>
      <c r="D17" s="48" t="s">
        <v>42</v>
      </c>
      <c r="E17" s="58">
        <v>11.94</v>
      </c>
      <c r="G17" s="57" t="s">
        <v>179</v>
      </c>
      <c r="H17" s="48">
        <v>0.23</v>
      </c>
      <c r="I17" s="48" t="s">
        <v>42</v>
      </c>
      <c r="J17" s="58">
        <v>11.25</v>
      </c>
      <c r="L17" s="30" t="s">
        <v>180</v>
      </c>
      <c r="M17" s="30">
        <v>150</v>
      </c>
      <c r="N17" s="30" t="s">
        <v>119</v>
      </c>
      <c r="O17" s="31">
        <v>0.2</v>
      </c>
    </row>
    <row r="18" spans="2:19" x14ac:dyDescent="0.3">
      <c r="B18" s="41" t="s">
        <v>33</v>
      </c>
      <c r="C18" s="8">
        <v>30</v>
      </c>
      <c r="D18" s="9" t="s">
        <v>34</v>
      </c>
      <c r="E18" s="40">
        <v>0</v>
      </c>
      <c r="G18" s="41" t="s">
        <v>33</v>
      </c>
      <c r="H18" s="8">
        <v>30</v>
      </c>
      <c r="I18" s="9" t="s">
        <v>34</v>
      </c>
      <c r="J18" s="40">
        <v>0</v>
      </c>
      <c r="L18" s="30" t="s">
        <v>28</v>
      </c>
      <c r="M18" s="30">
        <v>1</v>
      </c>
      <c r="N18" s="30" t="s">
        <v>26</v>
      </c>
      <c r="O18" s="31">
        <v>0.01</v>
      </c>
      <c r="S18" s="74"/>
    </row>
    <row r="19" spans="2:19" x14ac:dyDescent="0.3">
      <c r="B19" s="42"/>
      <c r="C19" s="1"/>
      <c r="D19" s="1"/>
      <c r="E19" s="54"/>
      <c r="G19" s="42"/>
      <c r="H19" s="1"/>
      <c r="I19" s="1"/>
      <c r="J19" s="54"/>
      <c r="L19" s="30" t="s">
        <v>146</v>
      </c>
      <c r="M19" s="30">
        <v>1</v>
      </c>
      <c r="N19" s="30" t="s">
        <v>26</v>
      </c>
      <c r="O19" s="31">
        <v>0.03</v>
      </c>
    </row>
    <row r="20" spans="2:19" x14ac:dyDescent="0.3">
      <c r="B20" s="37" t="s">
        <v>44</v>
      </c>
      <c r="C20" s="10">
        <f>SUM(C15:C17)*1.3</f>
        <v>15.249000000000001</v>
      </c>
      <c r="D20" s="11" t="s">
        <v>17</v>
      </c>
      <c r="E20" s="44">
        <f>SUM(E15:E18)</f>
        <v>148.94499999999999</v>
      </c>
      <c r="G20" s="37" t="s">
        <v>44</v>
      </c>
      <c r="H20" s="10">
        <f>SUM(H15:H17)*1.3</f>
        <v>15.249000000000001</v>
      </c>
      <c r="I20" s="11" t="s">
        <v>17</v>
      </c>
      <c r="J20" s="44">
        <f>SUM(J15:J18)</f>
        <v>148.255</v>
      </c>
      <c r="N20" s="32" t="s">
        <v>39</v>
      </c>
      <c r="O20" s="33">
        <f>SUM(O16:O19)</f>
        <v>3.0999999999999996</v>
      </c>
    </row>
    <row r="21" spans="2:19" ht="15" thickBot="1" x14ac:dyDescent="0.35">
      <c r="B21" s="45" t="s">
        <v>48</v>
      </c>
      <c r="C21" s="46">
        <v>0.15</v>
      </c>
      <c r="D21" s="46" t="s">
        <v>17</v>
      </c>
      <c r="E21" s="47">
        <f>(E20/78)*1.5</f>
        <v>2.8643269230769226</v>
      </c>
      <c r="G21" s="45" t="s">
        <v>48</v>
      </c>
      <c r="H21" s="46">
        <v>0.15</v>
      </c>
      <c r="I21" s="46" t="s">
        <v>17</v>
      </c>
      <c r="J21" s="47">
        <f>(J20/78)*1.5</f>
        <v>2.851057692307692</v>
      </c>
      <c r="N21" s="17" t="s">
        <v>45</v>
      </c>
      <c r="O21" s="21">
        <v>12.9</v>
      </c>
    </row>
    <row r="22" spans="2:19" x14ac:dyDescent="0.3">
      <c r="N22" s="18" t="s">
        <v>49</v>
      </c>
      <c r="O22" s="20">
        <f>O21-O20</f>
        <v>9.8000000000000007</v>
      </c>
    </row>
    <row r="23" spans="2:19" x14ac:dyDescent="0.3">
      <c r="N23" t="s">
        <v>52</v>
      </c>
      <c r="O23" s="22">
        <f>O20/O21</f>
        <v>0.2403100775193798</v>
      </c>
    </row>
    <row r="25" spans="2:19" x14ac:dyDescent="0.3">
      <c r="L25" s="27" t="s">
        <v>189</v>
      </c>
      <c r="M25" s="28"/>
      <c r="N25" s="28"/>
      <c r="O25" s="28"/>
    </row>
    <row r="26" spans="2:19" x14ac:dyDescent="0.3">
      <c r="L26" s="29" t="s">
        <v>7</v>
      </c>
      <c r="M26" s="29" t="s">
        <v>12</v>
      </c>
      <c r="N26" s="29" t="s">
        <v>9</v>
      </c>
      <c r="O26" s="29" t="s">
        <v>8</v>
      </c>
    </row>
    <row r="27" spans="2:19" x14ac:dyDescent="0.3">
      <c r="L27" s="30" t="s">
        <v>18</v>
      </c>
      <c r="M27" s="30">
        <v>150</v>
      </c>
      <c r="N27" s="30" t="s">
        <v>19</v>
      </c>
      <c r="O27" s="31">
        <v>3.61</v>
      </c>
    </row>
    <row r="28" spans="2:19" x14ac:dyDescent="0.3">
      <c r="L28" s="30" t="s">
        <v>180</v>
      </c>
      <c r="M28" s="30">
        <v>150</v>
      </c>
      <c r="N28" s="30" t="s">
        <v>119</v>
      </c>
      <c r="O28" s="31">
        <v>0.2</v>
      </c>
    </row>
    <row r="29" spans="2:19" x14ac:dyDescent="0.3">
      <c r="L29" s="30" t="s">
        <v>28</v>
      </c>
      <c r="M29" s="30">
        <v>1</v>
      </c>
      <c r="N29" s="30" t="s">
        <v>26</v>
      </c>
      <c r="O29" s="31">
        <v>0.01</v>
      </c>
    </row>
    <row r="30" spans="2:19" x14ac:dyDescent="0.3">
      <c r="L30" s="30" t="s">
        <v>146</v>
      </c>
      <c r="M30" s="30">
        <v>1</v>
      </c>
      <c r="N30" s="30" t="s">
        <v>26</v>
      </c>
      <c r="O30" s="31">
        <v>0.03</v>
      </c>
    </row>
    <row r="31" spans="2:19" x14ac:dyDescent="0.3">
      <c r="N31" s="32" t="s">
        <v>39</v>
      </c>
      <c r="O31" s="33">
        <f>SUM(O27:O30)</f>
        <v>3.8499999999999996</v>
      </c>
    </row>
    <row r="32" spans="2:19" x14ac:dyDescent="0.3">
      <c r="N32" s="17" t="s">
        <v>45</v>
      </c>
      <c r="O32" s="21">
        <v>12.9</v>
      </c>
    </row>
    <row r="33" spans="12:15" x14ac:dyDescent="0.3">
      <c r="N33" s="18" t="s">
        <v>49</v>
      </c>
      <c r="O33" s="20">
        <f>O32-O31</f>
        <v>9.0500000000000007</v>
      </c>
    </row>
    <row r="34" spans="12:15" x14ac:dyDescent="0.3">
      <c r="N34" t="s">
        <v>52</v>
      </c>
      <c r="O34" s="22">
        <f>O31/O32</f>
        <v>0.29844961240310075</v>
      </c>
    </row>
    <row r="36" spans="12:15" x14ac:dyDescent="0.3">
      <c r="L36" s="27" t="s">
        <v>190</v>
      </c>
      <c r="M36" s="28"/>
      <c r="N36" s="28"/>
      <c r="O36" s="28"/>
    </row>
    <row r="37" spans="12:15" x14ac:dyDescent="0.3">
      <c r="L37" s="29" t="s">
        <v>7</v>
      </c>
      <c r="M37" s="29" t="s">
        <v>12</v>
      </c>
      <c r="N37" s="29" t="s">
        <v>9</v>
      </c>
      <c r="O37" s="29" t="s">
        <v>8</v>
      </c>
    </row>
    <row r="38" spans="12:15" x14ac:dyDescent="0.3">
      <c r="L38" s="30" t="s">
        <v>18</v>
      </c>
      <c r="M38" s="30">
        <v>150</v>
      </c>
      <c r="N38" s="30" t="s">
        <v>19</v>
      </c>
      <c r="O38" s="31">
        <v>2.87</v>
      </c>
    </row>
    <row r="39" spans="12:15" x14ac:dyDescent="0.3">
      <c r="L39" s="30" t="s">
        <v>180</v>
      </c>
      <c r="M39" s="30">
        <v>150</v>
      </c>
      <c r="N39" s="30" t="s">
        <v>119</v>
      </c>
      <c r="O39" s="31">
        <v>0.2</v>
      </c>
    </row>
    <row r="40" spans="12:15" x14ac:dyDescent="0.3">
      <c r="L40" s="30" t="s">
        <v>28</v>
      </c>
      <c r="M40" s="30">
        <v>1</v>
      </c>
      <c r="N40" s="30" t="s">
        <v>26</v>
      </c>
      <c r="O40" s="31">
        <v>0.01</v>
      </c>
    </row>
    <row r="41" spans="12:15" x14ac:dyDescent="0.3">
      <c r="L41" s="30" t="s">
        <v>146</v>
      </c>
      <c r="M41" s="30">
        <v>1</v>
      </c>
      <c r="N41" s="30" t="s">
        <v>26</v>
      </c>
      <c r="O41" s="31">
        <v>0.03</v>
      </c>
    </row>
    <row r="42" spans="12:15" x14ac:dyDescent="0.3">
      <c r="N42" s="32" t="s">
        <v>39</v>
      </c>
      <c r="O42" s="33">
        <f>SUM(O38:O41)</f>
        <v>3.11</v>
      </c>
    </row>
    <row r="43" spans="12:15" x14ac:dyDescent="0.3">
      <c r="N43" s="17" t="s">
        <v>45</v>
      </c>
      <c r="O43" s="21">
        <v>12.9</v>
      </c>
    </row>
    <row r="44" spans="12:15" x14ac:dyDescent="0.3">
      <c r="N44" s="18" t="s">
        <v>49</v>
      </c>
      <c r="O44" s="20">
        <f>O43-O42</f>
        <v>9.7900000000000009</v>
      </c>
    </row>
    <row r="45" spans="12:15" x14ac:dyDescent="0.3">
      <c r="N45" t="s">
        <v>52</v>
      </c>
      <c r="O45" s="22">
        <f>O42/O43</f>
        <v>0.24108527131782945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04D26C220BA7438E155AB37BA84913" ma:contentTypeVersion="22" ma:contentTypeDescription="Criar um novo documento." ma:contentTypeScope="" ma:versionID="b3b4540f6a13226cb26bb16942ac4288">
  <xsd:schema xmlns:xsd="http://www.w3.org/2001/XMLSchema" xmlns:xs="http://www.w3.org/2001/XMLSchema" xmlns:p="http://schemas.microsoft.com/office/2006/metadata/properties" xmlns:ns2="cd931d84-531a-439d-a986-43574228e221" xmlns:ns3="b7f8385f-c13d-46ed-b364-08ce03dc29c3" targetNamespace="http://schemas.microsoft.com/office/2006/metadata/properties" ma:root="true" ma:fieldsID="0759fd9db0cbabba761d2d1144cacb91" ns2:_="" ns3:_="">
    <xsd:import namespace="cd931d84-531a-439d-a986-43574228e221"/>
    <xsd:import namespace="b7f8385f-c13d-46ed-b364-08ce03dc29c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Descri_x00e7__x00e3_o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X" minOccurs="0"/>
                <xsd:element ref="ns3:MediaServiceObjectDetectorVersions" minOccurs="0"/>
                <xsd:element ref="ns3:_Flow_SignoffStatu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931d84-531a-439d-a986-43574228e22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807921e7-3f48-409a-8c58-a7b429cd6f88}" ma:internalName="TaxCatchAll" ma:showField="CatchAllData" ma:web="cd931d84-531a-439d-a986-43574228e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f8385f-c13d-46ed-b364-08ce03dc29c3" elementFormDefault="qualified">
    <xsd:import namespace="http://schemas.microsoft.com/office/2006/documentManagement/types"/>
    <xsd:import namespace="http://schemas.microsoft.com/office/infopath/2007/PartnerControls"/>
    <xsd:element name="Descri_x00e7__x00e3_o" ma:index="10" nillable="true" ma:displayName="Descrição" ma:default="Post no Facebook - Equipamento Sorvete Soft - Funcionando durante a Pandemia - Mostrando Cuidados Diários para quem tem o Equipamento" ma:description="Post no Facebook - Equipamento Sorvete Soft - Funcionando durante a Pandemia - Mostrando Cuidados Diários para quem tem o Equipamento" ma:format="Dropdown" ma:internalName="Descri_x00e7__x00e3_o">
      <xsd:simpleType>
        <xsd:restriction base="dms:Note">
          <xsd:maxLength value="255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m" ma:readOnly="false" ma:fieldId="{5cf76f15-5ced-4ddc-b409-7134ff3c332f}" ma:taxonomyMulti="true" ma:sspId="06dec1ac-c387-4b8d-859e-ee54ea0547e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X" ma:index="25" nillable="true" ma:displayName="X" ma:description="Teste" ma:format="Thumbnail" ma:internalName="X">
      <xsd:simpleType>
        <xsd:restriction base="dms:Unknown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Estado da aprovação" ma:internalName="Estado_x0020_da_x0020_aprov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_x00e7__x00e3_o xmlns="b7f8385f-c13d-46ed-b364-08ce03dc29c3">Post no Facebook - Equipamento Sorvete Soft - Funcionando durante a Pandemia - Mostrando Cuidados Diários para quem tem o Equipamento</Descri_x00e7__x00e3_o>
    <TaxCatchAll xmlns="cd931d84-531a-439d-a986-43574228e221" xsi:nil="true"/>
    <X xmlns="b7f8385f-c13d-46ed-b364-08ce03dc29c3" xsi:nil="true"/>
    <lcf76f155ced4ddcb4097134ff3c332f xmlns="b7f8385f-c13d-46ed-b364-08ce03dc29c3">
      <Terms xmlns="http://schemas.microsoft.com/office/infopath/2007/PartnerControls"/>
    </lcf76f155ced4ddcb4097134ff3c332f>
    <_Flow_SignoffStatus xmlns="b7f8385f-c13d-46ed-b364-08ce03dc29c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BD7C60-8B99-49F1-916E-1C1860C30C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931d84-531a-439d-a986-43574228e221"/>
    <ds:schemaRef ds:uri="b7f8385f-c13d-46ed-b364-08ce03dc29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AE5EBA7-38B1-4F67-B692-08C43C5D4C03}">
  <ds:schemaRefs>
    <ds:schemaRef ds:uri="http://schemas.microsoft.com/office/2006/metadata/properties"/>
    <ds:schemaRef ds:uri="http://schemas.microsoft.com/office/infopath/2007/PartnerControls"/>
    <ds:schemaRef ds:uri="b7f8385f-c13d-46ed-b364-08ce03dc29c3"/>
    <ds:schemaRef ds:uri="cd931d84-531a-439d-a986-43574228e221"/>
  </ds:schemaRefs>
</ds:datastoreItem>
</file>

<file path=customXml/itemProps3.xml><?xml version="1.0" encoding="utf-8"?>
<ds:datastoreItem xmlns:ds="http://schemas.openxmlformats.org/officeDocument/2006/customXml" ds:itemID="{B45F6B9D-B85E-4527-8A00-16BBACABC0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GX2</vt:lpstr>
      <vt:lpstr>Sabores Gelato Duas Rodas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 Nascimento Fornasaro</dc:creator>
  <cp:keywords/>
  <dc:description/>
  <cp:lastModifiedBy>Jonathan Serra</cp:lastModifiedBy>
  <cp:revision/>
  <dcterms:created xsi:type="dcterms:W3CDTF">2022-09-15T15:55:39Z</dcterms:created>
  <dcterms:modified xsi:type="dcterms:W3CDTF">2025-09-26T16:28:18Z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0x010100DA04D26C220BA7438E155AB37BA84913</vt:lpwstr>
  </property>
  <property fmtid="{D5CDD505-2E9C-101B-9397-08002B2CF9AE}" pid="3" name="MediaServiceImageTags">
    <vt:lpwstr/>
  </property>
</Properties>
</file>